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S7Db8ajig0xtsVfIEcrGvm7pc4VYsURD7ChCayVh5x9u9siY7wXMyxxvTpZEMnJhpJWUwj16M+B276IwV1Bgg==" workbookSaltValue="by0Fdp7fFLkQga3J+ytH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<sst xmlns="http://schemas.openxmlformats.org/spreadsheetml/2006/main" count="2682" uniqueCount="1193">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</sst>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9ZQ7hd5OvAXNLdHRTuxcYvDEQfMVD4fymea4tIIsFUyrKm/mW3GXicsA2c0BZpR23McN+AFgk6cY5AqcYd2rg==" saltValue="VBLJHQV90gZjr5wsQe2X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5</v>
      </c>
      <c r="F10" s="240">
        <f>IF(ISNUMBER(Datos!K10),Datos!K10," - ")</f>
        <v>5</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30.799999999999997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37.383975026014568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1234</v>
      </c>
      <c r="D17" s="239">
        <f>IF(ISNUMBER(IF(D_I="SI",Datos!I17,Datos!I17+Datos!AC17)),IF(D_I="SI",Datos!I17,Datos!I17+Datos!AC17)," - ")</f>
        <v>1234</v>
      </c>
      <c r="E17" s="240">
        <f>IF(ISNUMBER(IF(D_I="SI",Datos!J17,Datos!J17+Datos!AD17)),IF(D_I="SI",Datos!J17,Datos!J17+Datos!AD17)," - ")</f>
        <v>1152</v>
      </c>
      <c r="F17" s="240">
        <f>IF(ISNUMBER(IF(D_I="SI",Datos!K17,Datos!K17+Datos!AE17)),IF(D_I="SI",Datos!K17,Datos!K17+Datos!AE17)," - ")</f>
        <v>1072</v>
      </c>
      <c r="G17" s="1390" t="str">
        <f>IF(Datos!E17&lt;&gt;"",Datos!E17,Datos!D17)</f>
        <v>04</v>
      </c>
      <c r="H17" s="241">
        <f>IF(ISNUMBER(IF(D_I="SI",Datos!L17,Datos!L17+Datos!AF17)),IF(D_I="SI",Datos!L17,Datos!L17+Datos!AF17)," - ")</f>
        <v>1314</v>
      </c>
      <c r="I17" s="1400" t="str">
        <f>IF(ISNUMBER(Datos!AS17/Datos!BM17),Datos!AS17/Datos!BM17," - ")</f>
        <v xml:space="preserve"> - </v>
      </c>
      <c r="J17" s="1401">
        <f>IF(ISNUMBER(Datos!BY17/Datos!CN17),Datos!BY17/Datos!CN17," - ")</f>
        <v>0</v>
      </c>
      <c r="K17" s="244">
        <f t="shared" si="3"/>
        <v>6.4829821717990274E-2</v>
      </c>
      <c r="L17" s="1402">
        <f>IF(ISNUMBER(NºAsuntos!I17/NºAsuntos!G17),(NºAsuntos!I17/NºAsuntos!G17)*11," - ")</f>
        <v>13.48320895522388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50</v>
      </c>
      <c r="F18" s="240">
        <f>IF(ISNUMBER(IF(D_I="SI",Datos!K18,Datos!K18+Datos!AE18)),IF(D_I="SI",Datos!K18,Datos!K18+Datos!AE18)," - ")</f>
        <v>51</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-3.125E-2</v>
      </c>
      <c r="L18" s="1402">
        <f>IF(ISNUMBER(NºAsuntos!I18/NºAsuntos!G18),(NºAsuntos!I18/NºAsuntos!G18)*11," - ")</f>
        <v>6.6862745098039209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1266</v>
      </c>
      <c r="D23" s="1407">
        <f>SUBTOTAL(9,D16:D22)</f>
        <v>1266</v>
      </c>
      <c r="E23" s="1408">
        <f>SUBTOTAL(9,E16:E22)</f>
        <v>1202</v>
      </c>
      <c r="F23" s="1408">
        <f>SUBTOTAL(9,F16:F22)</f>
        <v>1123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1280</v>
      </c>
      <c r="D31" s="1435">
        <f>SUBTOTAL(9,D9:D30)</f>
        <v>1280</v>
      </c>
      <c r="E31" s="1436">
        <f>SUBTOTAL(9,E9:E30)</f>
        <v>1207</v>
      </c>
      <c r="F31" s="1436">
        <f>SUBTOTAL(9,F9:F30)</f>
        <v>1128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7M1QJhypMopQ31pmWgxoFnycglXyrcMNW1P+eQMTfYC+GtTa9mhCxzIaw1SlRmqP/ymeFWLaRPpyrQcnuWJJQ==" saltValue="PkeP/XxKsFiNFkniYrWI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VzhEpp4FZLH5CaDvYmXz6j77sPqQ858UOdZLQ3EBggeSOV5K/wGHA6IgZz5FfG5aynxn3+CmW20/L1p2k7Nrw==" saltValue="smC4QDcpQqtY3njYnDFb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5</v>
      </c>
      <c r="K10" s="194">
        <v>5</v>
      </c>
      <c r="L10" s="194">
        <v>14</v>
      </c>
      <c r="M10" s="194">
        <v>2</v>
      </c>
      <c r="N10" s="194">
        <v>0</v>
      </c>
      <c r="O10" s="194">
        <v>1</v>
      </c>
      <c r="P10" s="194">
        <v>0</v>
      </c>
      <c r="Q10" s="194">
        <v>1</v>
      </c>
      <c r="R10" s="194">
        <v>27</v>
      </c>
      <c r="S10" s="194">
        <v>22</v>
      </c>
      <c r="T10" s="194">
        <v>5</v>
      </c>
      <c r="U10" s="194">
        <v>10</v>
      </c>
      <c r="V10" s="194">
        <v>17</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5</v>
      </c>
      <c r="BA10" s="139">
        <f t="shared" si="0"/>
        <v>10</v>
      </c>
      <c r="BB10" s="139">
        <f t="shared" si="0"/>
        <v>17</v>
      </c>
      <c r="BC10" s="135">
        <f t="shared" si="0"/>
        <v>4</v>
      </c>
      <c r="BD10" s="136">
        <f>IF(ISNUMBER(BA10/AZ10),BA10/AZ10," - ")</f>
        <v>2</v>
      </c>
      <c r="BE10" s="137">
        <f>IF(ISNUMBER(BB10/BA10),BB10/BA10, " - ")</f>
        <v>1.7</v>
      </c>
      <c r="BF10" s="137">
        <f>IF(ISNUMBER(BC10/BA10),BC10/BA10, " - ")</f>
        <v>0.4</v>
      </c>
      <c r="BG10" s="209">
        <f>IF(ISNUMBER((AY10+AZ10)/BA10),(AY10+AZ10)/BA10," - ")</f>
        <v>2.7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3144</v>
      </c>
      <c r="J12" s="196">
        <v>999</v>
      </c>
      <c r="K12" s="196">
        <v>915</v>
      </c>
      <c r="L12" s="196">
        <v>3228</v>
      </c>
      <c r="M12" s="196">
        <v>186</v>
      </c>
      <c r="N12" s="196">
        <v>321</v>
      </c>
      <c r="O12" s="194">
        <v>498</v>
      </c>
      <c r="P12" s="196">
        <v>613</v>
      </c>
      <c r="Q12" s="196">
        <v>513</v>
      </c>
      <c r="R12" s="196">
        <v>6538</v>
      </c>
      <c r="S12" s="196">
        <v>2742</v>
      </c>
      <c r="T12" s="196">
        <v>1028</v>
      </c>
      <c r="U12" s="196">
        <v>764</v>
      </c>
      <c r="V12" s="196">
        <v>3006</v>
      </c>
      <c r="W12" s="196">
        <v>216</v>
      </c>
      <c r="X12" s="202">
        <v>316</v>
      </c>
      <c r="Y12" s="204">
        <v>31</v>
      </c>
      <c r="Z12" s="194">
        <v>53</v>
      </c>
      <c r="AA12" s="194">
        <v>46</v>
      </c>
      <c r="AB12" s="194">
        <v>38</v>
      </c>
      <c r="AC12" s="196">
        <v>0</v>
      </c>
      <c r="AD12" s="196">
        <v>0</v>
      </c>
      <c r="AE12" s="196">
        <v>0</v>
      </c>
      <c r="AF12" s="202">
        <v>0</v>
      </c>
      <c r="AG12" s="215">
        <v>30</v>
      </c>
      <c r="AH12" s="196">
        <v>24</v>
      </c>
      <c r="AI12" s="196">
        <v>24</v>
      </c>
      <c r="AJ12" s="216">
        <v>30</v>
      </c>
      <c r="AK12" s="195">
        <v>0</v>
      </c>
      <c r="AL12" s="196">
        <v>0</v>
      </c>
      <c r="AM12" s="196">
        <v>0</v>
      </c>
      <c r="AN12" s="202">
        <v>0</v>
      </c>
      <c r="AO12" s="283">
        <v>4</v>
      </c>
      <c r="AP12" s="168">
        <v>4</v>
      </c>
      <c r="AQ12" s="168">
        <v>4</v>
      </c>
      <c r="AR12" s="167">
        <v>4</v>
      </c>
      <c r="AS12" s="381" t="s">
        <v>1075</v>
      </c>
      <c r="AT12" s="216"/>
      <c r="AU12" s="215"/>
      <c r="AV12" s="216"/>
      <c r="AW12" s="215"/>
      <c r="AX12" s="216"/>
      <c r="AY12" s="136">
        <f t="shared" si="1"/>
        <v>2772</v>
      </c>
      <c r="AZ12" s="137">
        <f t="shared" si="1"/>
        <v>1052</v>
      </c>
      <c r="BA12" s="137">
        <f t="shared" si="1"/>
        <v>788</v>
      </c>
      <c r="BB12" s="137">
        <f t="shared" si="1"/>
        <v>3036</v>
      </c>
      <c r="BC12" s="135">
        <f>IF(ISNUMBER(X12),X12," - ")</f>
        <v>316</v>
      </c>
      <c r="BD12" s="136">
        <f t="shared" si="2"/>
        <v>0.74904942965779464</v>
      </c>
      <c r="BE12" s="137">
        <f t="shared" si="3"/>
        <v>3.8527918781725887</v>
      </c>
      <c r="BF12" s="137">
        <f t="shared" si="4"/>
        <v>0.40101522842639592</v>
      </c>
      <c r="BG12" s="209">
        <f t="shared" si="5"/>
        <v>4.8527918781725887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3158</v>
      </c>
      <c r="J14" s="197">
        <f t="shared" si="7"/>
        <v>1004</v>
      </c>
      <c r="K14" s="197">
        <f t="shared" si="7"/>
        <v>920</v>
      </c>
      <c r="L14" s="197">
        <f t="shared" si="7"/>
        <v>3242</v>
      </c>
      <c r="M14" s="197">
        <f t="shared" si="7"/>
        <v>188</v>
      </c>
      <c r="N14" s="197">
        <f t="shared" si="7"/>
        <v>321</v>
      </c>
      <c r="O14" s="197">
        <f t="shared" si="7"/>
        <v>499</v>
      </c>
      <c r="P14" s="197">
        <f t="shared" si="7"/>
        <v>613</v>
      </c>
      <c r="Q14" s="197">
        <f t="shared" si="7"/>
        <v>514</v>
      </c>
      <c r="R14" s="197">
        <f t="shared" si="7"/>
        <v>6565</v>
      </c>
      <c r="S14" s="197">
        <f t="shared" si="7"/>
        <v>2764</v>
      </c>
      <c r="T14" s="197">
        <f t="shared" si="7"/>
        <v>1033</v>
      </c>
      <c r="U14" s="197">
        <f t="shared" si="7"/>
        <v>774</v>
      </c>
      <c r="V14" s="197">
        <f t="shared" si="7"/>
        <v>3023</v>
      </c>
      <c r="W14" s="197">
        <f t="shared" si="7"/>
        <v>220</v>
      </c>
      <c r="X14" s="197">
        <f t="shared" si="7"/>
        <v>316</v>
      </c>
      <c r="Y14" s="197">
        <f t="shared" si="7"/>
        <v>31</v>
      </c>
      <c r="Z14" s="197">
        <f t="shared" si="7"/>
        <v>53</v>
      </c>
      <c r="AA14" s="197">
        <f t="shared" si="7"/>
        <v>46</v>
      </c>
      <c r="AB14" s="197">
        <f t="shared" si="7"/>
        <v>38</v>
      </c>
      <c r="AC14" s="197">
        <f t="shared" si="7"/>
        <v>0</v>
      </c>
      <c r="AD14" s="197">
        <f t="shared" si="7"/>
        <v>0</v>
      </c>
      <c r="AE14" s="197">
        <f t="shared" si="7"/>
        <v>0</v>
      </c>
      <c r="AF14" s="197">
        <f>SUBTOTAL(9,AF9:AF13)</f>
        <v>0</v>
      </c>
      <c r="AG14" s="197">
        <f t="shared" ref="AG14:AT14" si="8">SUBTOTAL(9,AG8:AG13)</f>
        <v>30</v>
      </c>
      <c r="AH14" s="197">
        <f t="shared" si="8"/>
        <v>24</v>
      </c>
      <c r="AI14" s="197">
        <f t="shared" si="8"/>
        <v>24</v>
      </c>
      <c r="AJ14" s="197">
        <f t="shared" si="8"/>
        <v>30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2794</v>
      </c>
      <c r="AZ14" s="197">
        <f>SUBTOTAL(9,AZ8:AZ13)</f>
        <v>1057</v>
      </c>
      <c r="BA14" s="197">
        <f>SUBTOTAL(9,BA8:BA13)</f>
        <v>798</v>
      </c>
      <c r="BB14" s="197">
        <f>SUBTOTAL(9,BB8:BB13)</f>
        <v>3053</v>
      </c>
      <c r="BC14" s="197">
        <f>SUBTOTAL(9,BC8:BC13)</f>
        <v>320</v>
      </c>
      <c r="BD14" s="219">
        <f>IF(ISNUMBER(BA14/AZ14),BA14/AZ14," - ")</f>
        <v>0.75496688741721851</v>
      </c>
      <c r="BE14" s="220">
        <f>IF(ISNUMBER(BB14/BA14),BB14/BA14, " - ")</f>
        <v>3.825814536340852</v>
      </c>
      <c r="BF14" s="220">
        <f>IF(ISNUMBER(BC14/BA14),BC14/BA14, " - ")</f>
        <v>0.40100250626566414</v>
      </c>
      <c r="BG14" s="221">
        <f>IF(ISNUMBER((AY14+AZ14)/BA14),(AY14+AZ14)/BA14," - ")</f>
        <v>4.825814536340852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1234</v>
      </c>
      <c r="J17" s="196">
        <v>1152</v>
      </c>
      <c r="K17" s="196">
        <v>1072</v>
      </c>
      <c r="L17" s="196">
        <v>1314</v>
      </c>
      <c r="M17" s="196">
        <v>139</v>
      </c>
      <c r="N17" s="196">
        <v>748</v>
      </c>
      <c r="O17" s="194">
        <v>15</v>
      </c>
      <c r="P17" s="196">
        <v>20</v>
      </c>
      <c r="Q17" s="196">
        <v>27</v>
      </c>
      <c r="R17" s="196">
        <v>133</v>
      </c>
      <c r="S17" s="196">
        <v>1012</v>
      </c>
      <c r="T17" s="196">
        <v>961</v>
      </c>
      <c r="U17" s="196">
        <v>923</v>
      </c>
      <c r="V17" s="196">
        <v>1050</v>
      </c>
      <c r="W17" s="196">
        <v>161</v>
      </c>
      <c r="X17" s="202">
        <v>611</v>
      </c>
      <c r="Y17" s="215">
        <v>0</v>
      </c>
      <c r="Z17" s="196">
        <v>0</v>
      </c>
      <c r="AA17" s="196">
        <v>0</v>
      </c>
      <c r="AB17" s="196">
        <v>0</v>
      </c>
      <c r="AC17" s="196">
        <v>0</v>
      </c>
      <c r="AD17" s="196">
        <v>1</v>
      </c>
      <c r="AE17" s="196">
        <v>1</v>
      </c>
      <c r="AF17" s="202">
        <v>0</v>
      </c>
      <c r="AG17" s="215">
        <v>0</v>
      </c>
      <c r="AH17" s="196">
        <v>0</v>
      </c>
      <c r="AI17" s="196">
        <v>0</v>
      </c>
      <c r="AJ17" s="216">
        <v>0</v>
      </c>
      <c r="AK17" s="195">
        <v>0</v>
      </c>
      <c r="AL17" s="196">
        <v>7</v>
      </c>
      <c r="AM17" s="196">
        <v>7</v>
      </c>
      <c r="AN17" s="202">
        <v>0</v>
      </c>
      <c r="AO17" s="283">
        <v>4</v>
      </c>
      <c r="AP17" s="168">
        <v>4</v>
      </c>
      <c r="AQ17" s="168">
        <v>4</v>
      </c>
      <c r="AR17" s="168">
        <v>4</v>
      </c>
      <c r="AS17" s="381" t="s">
        <v>650</v>
      </c>
      <c r="AT17" s="216"/>
      <c r="AU17" s="215"/>
      <c r="AV17" s="216"/>
      <c r="AW17" s="215"/>
      <c r="AX17" s="216"/>
      <c r="AY17" s="136">
        <f t="shared" si="10"/>
        <v>1012</v>
      </c>
      <c r="AZ17" s="137">
        <f t="shared" si="10"/>
        <v>961</v>
      </c>
      <c r="BA17" s="137">
        <f t="shared" si="10"/>
        <v>923</v>
      </c>
      <c r="BB17" s="137">
        <f t="shared" si="10"/>
        <v>1050</v>
      </c>
      <c r="BC17" s="135">
        <f>IF(ISNUMBER(W17),W17," - ")</f>
        <v>161</v>
      </c>
      <c r="BD17" s="136">
        <f t="shared" ref="BD17:BD22" si="12">IF(ISNUMBER(BA17/AZ17),BA17/AZ17," - ")</f>
        <v>0.96045785639958381</v>
      </c>
      <c r="BE17" s="137">
        <f t="shared" ref="BE17:BE22" si="13">IF(ISNUMBER(BB17/BA17),BB17/BA17, " - ")</f>
        <v>1.1375947995666305</v>
      </c>
      <c r="BF17" s="137">
        <f t="shared" ref="BF17:BF22" si="14">IF(ISNUMBER(BC17/BA17),BC17/BA17, " - ")</f>
        <v>0.17443120260021669</v>
      </c>
      <c r="BG17" s="209">
        <f t="shared" si="11"/>
        <v>2.1375947995666307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50</v>
      </c>
      <c r="K18" s="196">
        <v>51</v>
      </c>
      <c r="L18" s="196">
        <v>31</v>
      </c>
      <c r="M18" s="196">
        <v>4</v>
      </c>
      <c r="N18" s="196">
        <v>51</v>
      </c>
      <c r="O18" s="196">
        <v>0</v>
      </c>
      <c r="P18" s="196">
        <v>0</v>
      </c>
      <c r="Q18" s="196">
        <v>1</v>
      </c>
      <c r="R18" s="196">
        <v>0</v>
      </c>
      <c r="S18" s="196">
        <v>31</v>
      </c>
      <c r="T18" s="196">
        <v>51</v>
      </c>
      <c r="U18" s="196">
        <v>49</v>
      </c>
      <c r="V18" s="196">
        <v>33</v>
      </c>
      <c r="W18" s="196">
        <v>4</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51</v>
      </c>
      <c r="BA18" s="139">
        <f t="shared" si="15"/>
        <v>49</v>
      </c>
      <c r="BB18" s="139">
        <f t="shared" si="15"/>
        <v>33</v>
      </c>
      <c r="BC18" s="135">
        <f>IF(ISNUMBER(W18),W18," - ")</f>
        <v>4</v>
      </c>
      <c r="BD18" s="136">
        <f>IF(ISNUMBER(BA18/AZ18),BA18/AZ18," - ")</f>
        <v>0.96078431372549022</v>
      </c>
      <c r="BE18" s="137">
        <f>IF(ISNUMBER(BB18/BA18),BB18/BA18, " - ")</f>
        <v>0.67346938775510201</v>
      </c>
      <c r="BF18" s="137">
        <f>IF(ISNUMBER(BC18/BA18),BC18/BA18, " - ")</f>
        <v>8.1632653061224483E-2</v>
      </c>
      <c r="BG18" s="209">
        <f>IF(ISNUMBER((AY18+AZ18)/BA18),(AY18+AZ18)/BA18," - ")</f>
        <v>1.6734693877551021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1266</v>
      </c>
      <c r="J23" s="197">
        <f t="shared" si="21"/>
        <v>1202</v>
      </c>
      <c r="K23" s="197">
        <f t="shared" si="21"/>
        <v>1123</v>
      </c>
      <c r="L23" s="197">
        <f t="shared" si="21"/>
        <v>1345</v>
      </c>
      <c r="M23" s="197">
        <f t="shared" si="21"/>
        <v>143</v>
      </c>
      <c r="N23" s="197">
        <f t="shared" si="21"/>
        <v>799</v>
      </c>
      <c r="O23" s="197">
        <f t="shared" si="21"/>
        <v>15</v>
      </c>
      <c r="P23" s="197">
        <f t="shared" si="21"/>
        <v>20</v>
      </c>
      <c r="Q23" s="197">
        <f t="shared" si="21"/>
        <v>28</v>
      </c>
      <c r="R23" s="197">
        <f t="shared" si="21"/>
        <v>133</v>
      </c>
      <c r="S23" s="197">
        <f t="shared" si="21"/>
        <v>1043</v>
      </c>
      <c r="T23" s="197">
        <f t="shared" si="21"/>
        <v>1012</v>
      </c>
      <c r="U23" s="197">
        <f t="shared" si="21"/>
        <v>972</v>
      </c>
      <c r="V23" s="197">
        <f t="shared" si="21"/>
        <v>1083</v>
      </c>
      <c r="W23" s="197">
        <f t="shared" si="21"/>
        <v>165</v>
      </c>
      <c r="X23" s="197">
        <f t="shared" si="21"/>
        <v>665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1043</v>
      </c>
      <c r="AZ23" s="197">
        <f>SUBTOTAL(9,AZ15:AZ22)</f>
        <v>1012</v>
      </c>
      <c r="BA23" s="197">
        <f>SUBTOTAL(9,BA15:BA22)</f>
        <v>972</v>
      </c>
      <c r="BB23" s="197">
        <f>SUBTOTAL(9,BB15:BB22)</f>
        <v>1083</v>
      </c>
      <c r="BC23" s="197">
        <f>SUBTOTAL(9,BC15:BC22)</f>
        <v>165</v>
      </c>
      <c r="BD23" s="219">
        <f>IF(ISNUMBER(BA23/AZ23),BA23/AZ23," - ")</f>
        <v>0.96047430830039526</v>
      </c>
      <c r="BE23" s="220">
        <f>IF(ISNUMBER(BB23/BA23),BB23/BA23, " - ")</f>
        <v>1.1141975308641976</v>
      </c>
      <c r="BF23" s="220">
        <f>IF(ISNUMBER(BC23/BA23),BC23/BA23, " - ")</f>
        <v>0.16975308641975309</v>
      </c>
      <c r="BG23" s="221">
        <f>IF(ISNUMBER((AY23+AZ23)/BA23),(AY23+AZ23)/BA23," - ")</f>
        <v>2.1141975308641974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4424</v>
      </c>
      <c r="J31" s="144">
        <f t="shared" si="36"/>
        <v>2206</v>
      </c>
      <c r="K31" s="144">
        <f t="shared" si="36"/>
        <v>2043</v>
      </c>
      <c r="L31" s="144">
        <f t="shared" si="36"/>
        <v>4587</v>
      </c>
      <c r="M31" s="144">
        <f t="shared" si="36"/>
        <v>331</v>
      </c>
      <c r="N31" s="144">
        <f t="shared" si="36"/>
        <v>1120</v>
      </c>
      <c r="O31" s="144">
        <f t="shared" si="36"/>
        <v>514</v>
      </c>
      <c r="P31" s="144">
        <f t="shared" si="36"/>
        <v>633</v>
      </c>
      <c r="Q31" s="144">
        <f t="shared" si="36"/>
        <v>542</v>
      </c>
      <c r="R31" s="144">
        <f t="shared" si="36"/>
        <v>6698</v>
      </c>
      <c r="S31" s="144">
        <f t="shared" si="36"/>
        <v>3807</v>
      </c>
      <c r="T31" s="144">
        <f t="shared" si="36"/>
        <v>2045</v>
      </c>
      <c r="U31" s="144">
        <f t="shared" si="36"/>
        <v>1746</v>
      </c>
      <c r="V31" s="144">
        <f t="shared" si="36"/>
        <v>4106</v>
      </c>
      <c r="W31" s="144">
        <f t="shared" si="36"/>
        <v>385</v>
      </c>
      <c r="X31" s="144">
        <f t="shared" si="36"/>
        <v>981</v>
      </c>
      <c r="Y31" s="144">
        <f t="shared" si="36"/>
        <v>31</v>
      </c>
      <c r="Z31" s="144">
        <f t="shared" si="36"/>
        <v>53</v>
      </c>
      <c r="AA31" s="144">
        <f t="shared" si="36"/>
        <v>46</v>
      </c>
      <c r="AB31" s="144">
        <f t="shared" si="36"/>
        <v>38</v>
      </c>
      <c r="AC31" s="144">
        <f t="shared" si="36"/>
        <v>0</v>
      </c>
      <c r="AD31" s="144">
        <f t="shared" si="36"/>
        <v>1</v>
      </c>
      <c r="AE31" s="144">
        <f t="shared" si="36"/>
        <v>1</v>
      </c>
      <c r="AF31" s="144">
        <f t="shared" si="36"/>
        <v>0</v>
      </c>
      <c r="AG31" s="144">
        <f t="shared" si="36"/>
        <v>30</v>
      </c>
      <c r="AH31" s="144">
        <f t="shared" si="36"/>
        <v>24</v>
      </c>
      <c r="AI31" s="144">
        <f t="shared" si="36"/>
        <v>24</v>
      </c>
      <c r="AJ31" s="144">
        <f t="shared" si="36"/>
        <v>30</v>
      </c>
      <c r="AK31" s="144">
        <f t="shared" si="36"/>
        <v>0</v>
      </c>
      <c r="AL31" s="144">
        <f t="shared" si="36"/>
        <v>7</v>
      </c>
      <c r="AM31" s="144">
        <f t="shared" si="36"/>
        <v>7</v>
      </c>
      <c r="AN31" s="224">
        <f t="shared" si="36"/>
        <v>0</v>
      </c>
      <c r="AO31" s="225">
        <v>5</v>
      </c>
      <c r="AP31" s="225">
        <v>4</v>
      </c>
      <c r="AQ31" s="225">
        <v>4</v>
      </c>
      <c r="AR31" s="225">
        <v>4</v>
      </c>
      <c r="AS31" s="166">
        <f t="shared" si="36"/>
        <v>0</v>
      </c>
      <c r="AT31" s="166">
        <f t="shared" si="36"/>
        <v>0</v>
      </c>
      <c r="AU31" s="225"/>
      <c r="AV31" s="226"/>
      <c r="AW31" s="225"/>
      <c r="AX31" s="226"/>
      <c r="AY31" s="143">
        <f>SUBTOTAL(9,AY9:AY30)</f>
        <v>3837</v>
      </c>
      <c r="AZ31" s="144">
        <f>SUBTOTAL(9,AZ9:AZ30)</f>
        <v>2069</v>
      </c>
      <c r="BA31" s="144">
        <f>SUBTOTAL(9,BA9:BA30)</f>
        <v>1770</v>
      </c>
      <c r="BB31" s="144">
        <f>SUBTOTAL(9,BB9:BB30)</f>
        <v>4136</v>
      </c>
      <c r="BC31" s="145">
        <f>SUBTOTAL(9,BC9:BC30)</f>
        <v>485</v>
      </c>
      <c r="BD31" s="227">
        <f>IF(ISNUMBER(BA31/AZ31),BA31/AZ31," - ")</f>
        <v>0.8554857419043016</v>
      </c>
      <c r="BE31" s="224">
        <f>IF(ISNUMBER(BB31/BA31),BB31/BA31, " - ")</f>
        <v>2.3367231638418078</v>
      </c>
      <c r="BF31" s="224">
        <f>IF(ISNUMBER(BC31/BA31),BC31/BA31, " - ")</f>
        <v>0.27401129943502822</v>
      </c>
      <c r="BG31" s="145">
        <f>IF(ISNUMBER((AY31+AZ31)/BA31),(AY31+AZ31)/BA31," - ")</f>
        <v>3.3367231638418078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sA4McI6Ao1MojKg3sb6JQmmLBwduC5Cg7/vxVr0/PtaNJGZvxWQ5RWRUysieudFgwq6O72MrMh+GWQoUvBvWw==" saltValue="6978nBKNsOLRXuu7hznT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9DVub4UZVsR6OCLm3kC5nTUQha8Qh6k6xglVL5Y0Yy2XPZKxPt3GiGeByUEp2/yopYnKWk6Je2LwgEddVdDTQ==" saltValue="BWmPogW1Bgn1zLqfgLDG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LA BISBAL D'EMPORDA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14</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-3.5714285714285712E-2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613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6538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186</v>
      </c>
      <c r="BD12" s="693">
        <f>IF(ISNUMBER(Datos!N12),Datos!N12," - ")</f>
        <v>321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0.91349809885931554</v>
      </c>
      <c r="BH12" s="764">
        <f>IF(ISNUMBER(((IF(J_V="SI",Datos!L12/Datos!K12,(Datos!L12+Datos!AB12)/(Datos!K12+Datos!AA12)))*11)/factor_trimestre),((IF(J_V="SI",Datos!L12/Datos!K12,(Datos!L12+Datos!AB12)/(Datos!K12+Datos!AA12)))*11)/factor_trimestre," - ")</f>
        <v>10.195629552549429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1.5532774153463809E-2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613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514</v>
      </c>
      <c r="AD14" s="1198">
        <f t="shared" si="2"/>
        <v>0</v>
      </c>
      <c r="AE14" s="1198">
        <f t="shared" si="2"/>
        <v>0</v>
      </c>
      <c r="AF14" s="1198">
        <f t="shared" si="2"/>
        <v>14</v>
      </c>
      <c r="AG14" s="1198">
        <f t="shared" si="2"/>
        <v>0</v>
      </c>
      <c r="AH14" s="1198">
        <f t="shared" si="2"/>
        <v>38</v>
      </c>
      <c r="AI14" s="1198">
        <f t="shared" si="2"/>
        <v>0</v>
      </c>
      <c r="AJ14" s="1198">
        <f t="shared" si="2"/>
        <v>0</v>
      </c>
      <c r="AK14" s="1198">
        <f t="shared" si="2"/>
        <v>0</v>
      </c>
      <c r="AL14" s="1198">
        <f t="shared" si="2"/>
        <v>0</v>
      </c>
      <c r="AM14" s="1198">
        <f t="shared" si="2"/>
        <v>6565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188</v>
      </c>
      <c r="BD14" s="1198">
        <f t="shared" si="2"/>
        <v>321</v>
      </c>
      <c r="BE14" s="1198">
        <f t="shared" si="2"/>
        <v>0</v>
      </c>
      <c r="BF14" s="1198">
        <f t="shared" si="2"/>
        <v>0</v>
      </c>
      <c r="BG14" s="1198">
        <f>IF(ISNUMBER(Datos!K14/Datos!J14),Datos!K14/Datos!J14," - ")</f>
        <v>0.91633466135458164</v>
      </c>
      <c r="BH14" s="1202">
        <f>IF(ISNUMBER(((Datos!L14/Datos!K14)*11)/factor_trimestre),((Datos!L14/Datos!K14)*11)/factor_trimestre," - ")</f>
        <v>10.571739130434782</v>
      </c>
      <c r="BI14" s="1198">
        <f>IF(ISNUMBER('Resol  Asuntos'!D14/NºAsuntos!G14),'Resol  Asuntos'!D14/NºAsuntos!G14," - ")</f>
        <v>0.19461697722567287</v>
      </c>
      <c r="BJ14" s="1198" t="str">
        <f>IF(ISNUMBER(Datos!CI14/Datos!CJ14),Datos!CI14/Datos!CJ14," - ")</f>
        <v xml:space="preserve"> - </v>
      </c>
      <c r="BK14" s="1198">
        <f>SUBTOTAL(9,BK8:BK13)</f>
        <v>0</v>
      </c>
      <c r="BL14" s="1198">
        <f>IF(ISNUMBER((I14-AB14+L14)/(F14)),(I14-AB14+L14)/(F14)," - ")</f>
        <v>-0.35714285714285715</v>
      </c>
      <c r="BM14" s="1203">
        <f>SUBTOTAL(9,BM9:BM13)</f>
        <v>-2.0181511560821902E-2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1234</v>
      </c>
      <c r="G17" s="743">
        <f>IF(ISNUMBER(IF(D_I="SI",Datos!I17,Datos!I17+Datos!AC17)),IF(D_I="SI",Datos!I17,Datos!I17+Datos!AC17)," - ")</f>
        <v>1234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1072</v>
      </c>
      <c r="AC17" s="240">
        <f>IF(ISNUMBER(Datos!Q17),Datos!Q17," - ")</f>
        <v>27</v>
      </c>
      <c r="AD17" s="374"/>
      <c r="AE17" s="562"/>
      <c r="AF17" s="741">
        <f>IF(ISNUMBER(IF(D_I="SI",Datos!L17,Datos!L17+Datos!AF17)),IF(D_I="SI",Datos!L17,Datos!L17+Datos!AF17)," - ")</f>
        <v>1314</v>
      </c>
      <c r="AG17" s="374"/>
      <c r="AH17" s="374"/>
      <c r="AI17" s="374"/>
      <c r="AJ17" s="549"/>
      <c r="AK17" s="374"/>
      <c r="AL17" s="545"/>
      <c r="AM17" s="375">
        <f>IF(ISNUMBER(Datos!R17),Datos!R17," - ")</f>
        <v>133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139</v>
      </c>
      <c r="BD17" s="243">
        <f>IF(ISNUMBER(Datos!N17),Datos!N17," - ")</f>
        <v>748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0.93055555555555558</v>
      </c>
      <c r="BH17" s="764">
        <f>IF(ISNUMBER(((IF(D_I="SI",Datos!L17/Datos!K17,(Datos!L17+Datos!AF17)/(Datos!K17+Datos!AE17)))*11)/factor_trimestre),((IF(D_I="SI",Datos!L17/Datos!K17,(Datos!L17+Datos!AF17)/(Datos!K17+Datos!AE17)))*11)/factor_trimestre," - ")</f>
        <v>3.6772388059701493</v>
      </c>
      <c r="BI17" s="266">
        <f>IF(ISNUMBER('Resol  Asuntos'!D17/NºAsuntos!G17),'Resol  Asuntos'!D17/NºAsuntos!G17," - ")</f>
        <v>0.12966417910447761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1</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v>
      </c>
      <c r="BH18" s="764">
        <f>IF(ISNUMBER(((IF(D_I="SI",Datos!L18/Datos!K18,(Datos!L18+Datos!AF18)/(Datos!K18+Datos!AE18)))*11)/factor_trimestre),((IF(D_I="SI",Datos!L18/Datos!K18,(Datos!L18+Datos!AF18)/(Datos!K18+Datos!AE18)))*11)/factor_trimestre," - ")</f>
        <v>1.8235294117647058</v>
      </c>
      <c r="BI18" s="763">
        <f>IF(ISNUMBER('Resol  Asuntos'!D18/NºAsuntos!G18),'Resol  Asuntos'!D18/NºAsuntos!G18," - ")</f>
        <v>7.8431372549019607E-2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1234</v>
      </c>
      <c r="G23" s="1197">
        <f>SUBTOTAL(9,G16:G22)</f>
        <v>1266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1123</v>
      </c>
      <c r="AC23" s="1198">
        <f t="shared" si="5"/>
        <v>28</v>
      </c>
      <c r="AD23" s="1198">
        <f t="shared" si="5"/>
        <v>0</v>
      </c>
      <c r="AE23" s="1198">
        <f t="shared" si="5"/>
        <v>0</v>
      </c>
      <c r="AF23" s="1198">
        <f t="shared" si="5"/>
        <v>1345</v>
      </c>
      <c r="AG23" s="1198">
        <f t="shared" si="5"/>
        <v>0</v>
      </c>
      <c r="AH23" s="1198">
        <f t="shared" si="5"/>
        <v>0</v>
      </c>
      <c r="AI23" s="1198">
        <f t="shared" si="5"/>
        <v>0</v>
      </c>
      <c r="AJ23" s="1198">
        <f t="shared" si="5"/>
        <v>0</v>
      </c>
      <c r="AK23" s="1198">
        <f t="shared" si="5"/>
        <v>0</v>
      </c>
      <c r="AL23" s="1198">
        <f t="shared" si="5"/>
        <v>0</v>
      </c>
      <c r="AM23" s="1198">
        <f t="shared" si="5"/>
        <v>133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v>
      </c>
      <c r="BD23" s="1198">
        <f t="shared" si="5"/>
        <v>799</v>
      </c>
      <c r="BE23" s="1198">
        <f t="shared" si="5"/>
        <v>0</v>
      </c>
      <c r="BF23" s="1198">
        <f t="shared" si="5"/>
        <v>0</v>
      </c>
      <c r="BG23" s="1198">
        <f>IF(ISNUMBER(Datos!K23/Datos!J23),Datos!K23/Datos!J23," - ")</f>
        <v>0.93427620632279529</v>
      </c>
      <c r="BH23" s="1202">
        <f>IF(ISNUMBER(((Datos!L23/Datos!K23)*11)/factor_trimestre),((Datos!L23/Datos!K23)*11)/factor_trimestre," - ")</f>
        <v>3.5930543187889583</v>
      </c>
      <c r="BI23" s="1198">
        <f>SUBTOTAL(9,BI16:BI22)</f>
        <v>0.20809555165349722</v>
      </c>
      <c r="BJ23" s="1198">
        <f>SUBTOTAL(9,BJ16:BJ22)</f>
        <v>0</v>
      </c>
      <c r="BK23" s="1198">
        <f>SUBTOTAL(9,BK16:BK22)</f>
        <v>0</v>
      </c>
      <c r="BL23" s="1198">
        <f>IF(ISNUMBER((I23-AB23+L23)/(F23)),(I23-AB23+L23)/(F23)," - ")</f>
        <v>-0.91004862236628847</v>
      </c>
      <c r="BM23" s="1205">
        <f>IF(ISNUMBER((Datos!P23-Datos!Q23)/(Datos!R23-Datos!P23+Datos!Q23)),(Datos!P23-Datos!Q23)/(Datos!R23-Datos!P23+Datos!Q23)," - ")</f>
        <v>-5.6737588652482268E-2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1248</v>
      </c>
      <c r="G31" s="1117">
        <f t="shared" si="18"/>
        <v>1280</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633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1128</v>
      </c>
      <c r="AC31" s="1118">
        <f t="shared" si="19"/>
        <v>542</v>
      </c>
      <c r="AD31" s="1118">
        <f t="shared" si="19"/>
        <v>0</v>
      </c>
      <c r="AE31" s="1118">
        <f t="shared" si="19"/>
        <v>0</v>
      </c>
      <c r="AF31" s="1125">
        <f t="shared" si="19"/>
        <v>1359</v>
      </c>
      <c r="AG31" s="1125">
        <f t="shared" si="19"/>
        <v>0</v>
      </c>
      <c r="AH31" s="1125">
        <f t="shared" si="19"/>
        <v>38</v>
      </c>
      <c r="AI31" s="1125">
        <f t="shared" si="19"/>
        <v>0</v>
      </c>
      <c r="AJ31" s="1118">
        <f t="shared" si="19"/>
        <v>0</v>
      </c>
      <c r="AK31" s="1125">
        <f t="shared" si="19"/>
        <v>0</v>
      </c>
      <c r="AL31" s="1125">
        <f t="shared" si="19"/>
        <v>0</v>
      </c>
      <c r="AM31" s="1125">
        <f t="shared" si="19"/>
        <v>6698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331</v>
      </c>
      <c r="BD31" s="1117">
        <f t="shared" si="19"/>
        <v>1120</v>
      </c>
      <c r="BE31" s="1117">
        <f t="shared" si="19"/>
        <v>0</v>
      </c>
      <c r="BF31" s="1127">
        <f t="shared" si="19"/>
        <v>0</v>
      </c>
      <c r="BG31" s="1223">
        <f>IF(ISNUMBER(Datos!K31/Datos!J31),Datos!K31/Datos!J31," - ")</f>
        <v>0.92611060743427021</v>
      </c>
      <c r="BH31" s="1223">
        <f>IF(ISNUMBER(((Datos!L31/Datos!K31)*11)/factor_trimestre),((Datos!L31/Datos!K31)*11)/factor_trimestre," - ")</f>
        <v>6.7356828193832605</v>
      </c>
      <c r="BI31" s="1103">
        <f>IF(ISNUMBER(Datos!J31/Datos!I31),Datos!J31/Datos!I31," - ")</f>
        <v>0.49864376130198917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-0.90384615384615385</v>
      </c>
      <c r="BM31" s="1188">
        <f>IF(ISNUMBER((Datos!P31-Datos!Q31+R31)/(Datos!R31-Datos!P31+Datos!Q31-R31)),(Datos!P31-Datos!Q31+R31)/(Datos!R31-Datos!P31+Datos!Q31-R31)," - ")</f>
        <v>1.3773270773422127E-2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633.65100804780548</v>
      </c>
      <c r="G33" s="674">
        <f>IF(ISNUMBER(STDEV(G8:G30)),STDEV(G8:G30),"-")</f>
        <v>604.24876617877464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530.07663417211484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88.599822637681228</v>
      </c>
      <c r="BD33" s="673"/>
      <c r="BE33" s="673">
        <f>IF(ISNUMBER(STDEV(BE8:BE30)),STDEV(BE8:BE30),"-")</f>
        <v>0</v>
      </c>
      <c r="BF33" s="678">
        <f>IF(ISNUMBER(STDEV(BF8:BF30)),STDEV(BF8:BF30),"-")</f>
        <v>0</v>
      </c>
      <c r="BG33" s="1052">
        <f>IF(ISNUMBER(STDEV(BG8:BG30)),STDEV(BG8:BG30),"-")</f>
        <v>4.5727948898499814E-2</v>
      </c>
      <c r="BH33" s="1058">
        <f>IF(ISNUMBER(STDEV(BH8:BH30)),STDEV(BH8:BH30),"-")</f>
        <v>3.7958781693207873</v>
      </c>
      <c r="BI33" s="273">
        <f>IF(ISNUMBER(STDEV(BI8:BI30)),STDEV(BI8:BI30),"-")</f>
        <v>6.0200161057902449E-2</v>
      </c>
      <c r="BJ33" s="244" t="str">
        <f>IF(ISNUMBER(BL33/BM33),BL33/BM33," - ")</f>
        <v xml:space="preserve"> - </v>
      </c>
      <c r="BK33" s="709"/>
      <c r="BL33" s="681">
        <f>IF(ISNUMBER(STDEV(BL8:BL30)),STDEV(BL8:BL30),"-")</f>
        <v>0.39096341594662537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AzvBE8XBKsv7oBtvq00JIjFfgyl1zsZneG27qi3MHZBMufhFlaAzoTR+fgpR7JEgzIiTbTsWDhmJyweWqitIQ==" saltValue="Es264oGkO8o39mYxZRvR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LA BISBAL D'EMPORDA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14</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-3.5714285714285712E-2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513</v>
      </c>
      <c r="AA12" s="551" t="str">
        <f>IF(ISNUMBER(IF(J_V="SI",Datos!L12,Datos!L12+Datos!AB12)-IF(Monitorios="SI",Datos!CD12,0)),
                          IF(J_V="SI",Datos!L12,Datos!L12+Datos!AB12)-IF(Monitorios="SI",Datos!CD12,0),
                          " - ")</f>
        <v xml:space="preserve"> - </v>
      </c>
      <c r="AB12" s="549"/>
      <c r="AC12" s="549"/>
      <c r="AD12" s="563"/>
      <c r="AE12" s="563">
        <f>IF(ISNUMBER(Datos!R12),Datos!R12," - ")</f>
        <v>6538</v>
      </c>
      <c r="AF12" s="693" t="str">
        <f>IF(ISNUMBER(Datos!BV12),Datos!BV12," - ")</f>
        <v xml:space="preserve"> - </v>
      </c>
      <c r="AG12" s="552" t="str">
        <f>IF(ISNUMBER(Datos!DV12),Datos!DV12," - ")</f>
        <v xml:space="preserve"> - </v>
      </c>
      <c r="AH12" s="553"/>
      <c r="AI12" s="554"/>
      <c r="AJ12" s="552">
        <f>IF(ISNUMBER(Datos!M12),Datos!M12," - ")</f>
        <v>186</v>
      </c>
      <c r="AK12" s="693">
        <f>IF(ISNUMBER(Datos!N12),Datos!N12," - ")</f>
        <v>321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10.195629552549429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1.5532774153463809E-2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613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514</v>
      </c>
      <c r="AA14" s="1199">
        <f t="shared" si="3"/>
        <v>14</v>
      </c>
      <c r="AB14" s="1199">
        <f t="shared" si="3"/>
        <v>0</v>
      </c>
      <c r="AC14" s="1199">
        <f t="shared" si="3"/>
        <v>0</v>
      </c>
      <c r="AD14" s="1199">
        <f t="shared" si="3"/>
        <v>0</v>
      </c>
      <c r="AE14" s="1199">
        <f t="shared" si="3"/>
        <v>6565</v>
      </c>
      <c r="AF14" s="1211">
        <f t="shared" si="3"/>
        <v>0</v>
      </c>
      <c r="AG14" s="1211">
        <f t="shared" si="3"/>
        <v>0</v>
      </c>
      <c r="AH14" s="1211">
        <f t="shared" si="3"/>
        <v>0</v>
      </c>
      <c r="AI14" s="1211">
        <f t="shared" si="3"/>
        <v>0</v>
      </c>
      <c r="AJ14" s="1211">
        <f t="shared" si="3"/>
        <v>188</v>
      </c>
      <c r="AK14" s="1211">
        <f t="shared" si="3"/>
        <v>321</v>
      </c>
      <c r="AL14" s="1211">
        <f t="shared" si="3"/>
        <v>0</v>
      </c>
      <c r="AM14" s="1211">
        <f t="shared" si="3"/>
        <v>0</v>
      </c>
      <c r="AN14" s="1211">
        <f t="shared" si="3"/>
        <v>0</v>
      </c>
      <c r="AO14" s="1203">
        <f>IF(ISNUMBER(((NºAsuntos!I14/NºAsuntos!G14)*11)/factor_trimestre),((NºAsuntos!I14/NºAsuntos!G14)*11)/factor_trimestre," - ")</f>
        <v>10.186335403726709</v>
      </c>
      <c r="AP14" s="1213" t="str">
        <f>IF(ISNUMBER(Datos!CI14/Datos!CJ14),Datos!CI14/Datos!CJ14," - ")</f>
        <v xml:space="preserve"> - </v>
      </c>
      <c r="AQ14" s="1236">
        <f t="shared" ref="AQ14:AV14" si="4">SUBTOTAL(9,AQ9:AQ13)</f>
        <v>0</v>
      </c>
      <c r="AR14" s="1236">
        <f t="shared" si="4"/>
        <v>-2.0181511560821902E-2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1234</v>
      </c>
      <c r="G17" s="552">
        <f>IF(ISNUMBER(IF(D_I="SI",Datos!I17,Datos!I17+Datos!AC17)),IF(D_I="SI",Datos!I17,Datos!I17+Datos!AC17)," - ")</f>
        <v>1234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1072</v>
      </c>
      <c r="Z17" s="805">
        <f>IF(ISNUMBER(Datos!Q17),Datos!Q17," - ")</f>
        <v>27</v>
      </c>
      <c r="AA17" s="551">
        <f>IF(ISNUMBER(IF(D_I="SI",Datos!L17,Datos!L17+Datos!AF17)),IF(D_I="SI",Datos!L17,Datos!L17+Datos!AF17)," - ")</f>
        <v>1314</v>
      </c>
      <c r="AB17" s="549"/>
      <c r="AC17" s="549"/>
      <c r="AD17" s="563"/>
      <c r="AE17" s="563">
        <f>IF(ISNUMBER(Datos!R17),Datos!R17," - ")</f>
        <v>133</v>
      </c>
      <c r="AF17" s="693" t="str">
        <f>IF(ISNUMBER(Datos!BV17),Datos!BV17," - ")</f>
        <v xml:space="preserve"> - </v>
      </c>
      <c r="AG17" s="552"/>
      <c r="AH17" s="553"/>
      <c r="AI17" s="554"/>
      <c r="AJ17" s="552">
        <f>IF(ISNUMBER(Datos!M17),Datos!M17," - ")</f>
        <v>139</v>
      </c>
      <c r="AK17" s="693">
        <f>IF(ISNUMBER(Datos!N17),Datos!N17," - ")</f>
        <v>748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3.6772388059701493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1</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1.8235294117647058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1234</v>
      </c>
      <c r="G23" s="1197">
        <f>SUBTOTAL(9,G16:G22)</f>
        <v>1266</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1123</v>
      </c>
      <c r="Z23" s="1240">
        <f t="shared" si="6"/>
        <v>28</v>
      </c>
      <c r="AA23" s="1240">
        <f t="shared" si="6"/>
        <v>1345</v>
      </c>
      <c r="AB23" s="1240">
        <f t="shared" si="6"/>
        <v>0</v>
      </c>
      <c r="AC23" s="1240">
        <f t="shared" si="6"/>
        <v>0</v>
      </c>
      <c r="AD23" s="1240">
        <f t="shared" si="6"/>
        <v>0</v>
      </c>
      <c r="AE23" s="1240">
        <f t="shared" si="6"/>
        <v>133</v>
      </c>
      <c r="AF23" s="1240">
        <f t="shared" si="6"/>
        <v>0</v>
      </c>
      <c r="AG23" s="1240">
        <f t="shared" si="6"/>
        <v>0</v>
      </c>
      <c r="AH23" s="1240">
        <f t="shared" si="6"/>
        <v>0</v>
      </c>
      <c r="AI23" s="1240">
        <f t="shared" si="6"/>
        <v>0</v>
      </c>
      <c r="AJ23" s="1240">
        <f t="shared" si="6"/>
        <v>143</v>
      </c>
      <c r="AK23" s="1240">
        <f t="shared" si="6"/>
        <v>799</v>
      </c>
      <c r="AL23" s="1240">
        <f t="shared" si="6"/>
        <v>0</v>
      </c>
      <c r="AM23" s="1240">
        <f t="shared" si="6"/>
        <v>0</v>
      </c>
      <c r="AN23" s="1240">
        <f t="shared" si="6"/>
        <v>0</v>
      </c>
      <c r="AO23" s="1242">
        <f>IF(ISNUMBER(((NºAsuntos!I23/NºAsuntos!G23)*11)/factor_trimestre),((NºAsuntos!I23/NºAsuntos!G23)*11)/factor_trimestre," - ")</f>
        <v>3.5930543187889583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1248</v>
      </c>
      <c r="G31" s="1117">
        <f t="shared" si="12"/>
        <v>1280</v>
      </c>
      <c r="H31" s="1118">
        <f t="shared" si="12"/>
        <v>0</v>
      </c>
      <c r="I31" s="1117">
        <f t="shared" si="12"/>
        <v>0</v>
      </c>
      <c r="J31" s="1119">
        <f t="shared" si="12"/>
        <v>0</v>
      </c>
      <c r="K31" s="1117">
        <f t="shared" si="12"/>
        <v>0</v>
      </c>
      <c r="L31" s="1120">
        <f t="shared" si="12"/>
        <v>0</v>
      </c>
      <c r="M31" s="1117">
        <f t="shared" si="12"/>
        <v>0</v>
      </c>
      <c r="N31" s="1118">
        <f t="shared" si="12"/>
        <v>633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1128</v>
      </c>
      <c r="Z31" s="1124">
        <f t="shared" si="13"/>
        <v>542</v>
      </c>
      <c r="AA31" s="1125">
        <f t="shared" si="13"/>
        <v>1359</v>
      </c>
      <c r="AB31" s="1125">
        <f t="shared" si="13"/>
        <v>0</v>
      </c>
      <c r="AC31" s="1125">
        <f t="shared" si="13"/>
        <v>0</v>
      </c>
      <c r="AD31" s="1126">
        <f t="shared" si="13"/>
        <v>0</v>
      </c>
      <c r="AE31" s="1126">
        <f t="shared" si="13"/>
        <v>6698</v>
      </c>
      <c r="AF31" s="1127">
        <f t="shared" si="13"/>
        <v>0</v>
      </c>
      <c r="AG31" s="1128">
        <f t="shared" si="13"/>
        <v>0</v>
      </c>
      <c r="AH31" s="1129">
        <f t="shared" si="13"/>
        <v>0</v>
      </c>
      <c r="AI31" s="1127">
        <f t="shared" si="13"/>
        <v>0</v>
      </c>
      <c r="AJ31" s="1117">
        <f t="shared" si="13"/>
        <v>331</v>
      </c>
      <c r="AK31" s="1117">
        <f t="shared" si="13"/>
        <v>1120</v>
      </c>
      <c r="AL31" s="1117">
        <f t="shared" si="13"/>
        <v>0</v>
      </c>
      <c r="AM31" s="1130">
        <f t="shared" si="13"/>
        <v>0</v>
      </c>
      <c r="AN31" s="1120">
        <f>IF(ISNUMBER(Datos!K31/Datos!J31),Datos!K31/Datos!J31," - ")</f>
        <v>0.92611060743427021</v>
      </c>
      <c r="AO31" s="1120">
        <f>IF(ISNUMBER(FIND("06",Criterios!A8,1)),(IF(ISNUMBER(((Datos!R31/Datos!Q31)*11)/factor_trimestre),((Datos!R31/Datos!Q31)*11)/factor_trimestre," - ")),(IF(ISNUMBER(((Datos!L31/Datos!K31)*11)/factor_trimestre),((Datos!L31/Datos!K31)*11)/factor_trimestre," - ")))</f>
        <v>6.7356828193832605</v>
      </c>
      <c r="AP31" s="1131" t="str">
        <f>IF(ISNUMBER(Datos!CI31/Datos!CJ31),Datos!CI31/Datos!CJ31," - ")</f>
        <v xml:space="preserve"> - </v>
      </c>
      <c r="AQ31" s="1131">
        <f>IF(OR(ISNUMBER(FIND("01",Criterios!A8,1)),ISNUMBER(FIND("02",Criterios!A8,1)),ISNUMBER(FIND("03",Criterios!A8,1)),ISNUMBER(FIND("04",Criterios!A8,1))),(J31-Y31+K31)/(F31-K31),(I31-Y31+K31)/(F31-K31))</f>
        <v>-0.90384615384615385</v>
      </c>
      <c r="AR31" s="1131">
        <f>IF(ISNUMBER((Datos!P31-Datos!Q31+O31)/(Datos!R31-Datos!P31+Datos!Q31-O31)),(Datos!P31-Datos!Q31+O31)/(Datos!R31-Datos!P31+Datos!Q31-O31)," - ")</f>
        <v>1.3773270773422127E-2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633.65100804780548</v>
      </c>
      <c r="G33" s="674">
        <f>IF(ISNUMBER(STDEV(G8:G30)),STDEV(G8:G30),"-")</f>
        <v>604.24876617877464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88.599822637681228</v>
      </c>
      <c r="AK33" s="276"/>
      <c r="AL33" s="276">
        <f>IF(ISNUMBER(STDEV(AL8:AL30)),STDEV(AL8:AL30),"-")</f>
        <v>0</v>
      </c>
      <c r="AM33" s="278">
        <f>IF(ISNUMBER(STDEV(AM8:AM30)),STDEV(AM8:AM30),"-")</f>
        <v>0</v>
      </c>
      <c r="AN33" s="660">
        <f>IF(ISNUMBER(STDEV(AN8:AN30)),STDEV(AN8:AN30),"-")</f>
        <v>0</v>
      </c>
      <c r="AO33" s="661">
        <f>IF(ISNUMBER(STDEV(AO8:AO30)),STDEV(AO8:AO30),"-")</f>
        <v>3.713052526414089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Ni3koDP3fkjs3PeypEReZJ0g2OWezTyRc5kOgYZWgOM3cAtDprn9J08oDvapYYPcIa0Dfov1cMAqIQvm8ED4A==" saltValue="kK6aT2CpDd5Z6BeWDg3D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Vj2FNCQk/eLy8Z5FJQophyKsVleoAORhSrcdk68wquh2UL6Mknj+LcjQxODHUlFFUn9Bx/jYn7Nvt9rNSt40w==" saltValue="psIC/OyrGO51ddao/JVg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7RZpLguRMd+IRFtTOfprC9Cf3wX7ydGv7NOYJmkQ9ZH4hGeto5DYnj/5FtE6TMN4MUmdK403I7aekTpwQIoQ==" saltValue="G9//ot7VZf+d9TmNcIVk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LA BISBAL D'EMPORDA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0.19461697722567287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0.13761498433030117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AzPRTfSpu+P58w5hUVa0g9xG66nJYhVG0DX4uVGV9vNE1FsBcd8awnrBZ7oBIKsHXX5gPkS8vBiTABKAGlvWQ==" saltValue="VWjOxdxI09qRzuel77X+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zgOwluusI8RUMVKUoQeLtUiNyN0mT3MoO9aIAIXwc2/lt3AgU6A4rBWP5Yz3eqL8NVkxIfa4tlnXoEzRDVGLw==" saltValue="1ZI1fDvgkmsqqmd90HJB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LA BISBAL D'EMPORDA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5</v>
      </c>
      <c r="F10" s="452">
        <f>IF(ISNUMBER(E10/B10),E10/B10," - ")</f>
        <v>5</v>
      </c>
      <c r="G10" s="451">
        <f>IF(ISNUMBER(Datos!K10),Datos!K10," - ")</f>
        <v>5</v>
      </c>
      <c r="H10" s="452">
        <f>IF(ISNUMBER(G10/B10),G10/B10," - ")</f>
        <v>5</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3175</v>
      </c>
      <c r="D12" s="452">
        <f>IF(ISNUMBER(C12/Datos!BH12),C12/Datos!BH12," - ")</f>
        <v>793.75</v>
      </c>
      <c r="E12" s="451">
        <f>IF(ISNUMBER(IF(J_V="SI",Datos!J12,Datos!J12+Datos!Z12)),IF(J_V="SI",Datos!J12,Datos!J12+Datos!Z12)," - ")</f>
        <v>1052</v>
      </c>
      <c r="F12" s="452">
        <f>IF(ISNUMBER(E12/B12),E12/B12," - ")</f>
        <v>263</v>
      </c>
      <c r="G12" s="451">
        <f>IF(ISNUMBER(IF(J_V="SI",Datos!K12,Datos!K12+Datos!AA12)),IF(J_V="SI",Datos!K12,Datos!K12+Datos!AA12)," - ")</f>
        <v>961</v>
      </c>
      <c r="H12" s="452">
        <f>IF(ISNUMBER(G12/B12),G12/B12," - ")</f>
        <v>240.25</v>
      </c>
      <c r="I12" s="451">
        <f>IF(ISNUMBER(IF(J_V="SI",Datos!L12,Datos!L12+Datos!AB12)),IF(J_V="SI",Datos!L12,Datos!L12+Datos!AB12)," - ")</f>
        <v>3266</v>
      </c>
      <c r="J12" s="452">
        <f>IF(ISNUMBER(I12/B12),I12/B12," - ")</f>
        <v>816.5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3189</v>
      </c>
      <c r="D14" s="1147" t="str">
        <f>IF(ISNUMBER(C14/Datos!BI14),C14/Datos!BI14," - ")</f>
        <v xml:space="preserve"> - </v>
      </c>
      <c r="E14" s="1146">
        <f>SUBTOTAL(9,E8:E13)</f>
        <v>1057</v>
      </c>
      <c r="F14" s="1147">
        <f>IF(ISNUMBER(E14/B14),E14/B14," - ")</f>
        <v>264.25</v>
      </c>
      <c r="G14" s="1146">
        <f>SUBTOTAL(9,G8:G13)</f>
        <v>966</v>
      </c>
      <c r="H14" s="1147">
        <f>IF(ISNUMBER(G14/B14),G14/B14," - ")</f>
        <v>241.5</v>
      </c>
      <c r="I14" s="1146">
        <f>SUBTOTAL(9,I8:I13)</f>
        <v>3280</v>
      </c>
      <c r="J14" s="1147">
        <f>IF(ISNUMBER(I14/B14),I14/B14," - ")</f>
        <v>820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1234</v>
      </c>
      <c r="D17" s="452">
        <f>IF(ISNUMBER(C17/Datos!BH17),C17/Datos!BH17," - ")</f>
        <v>308.5</v>
      </c>
      <c r="E17" s="451">
        <f>IF(ISNUMBER(IF(D_I="SI",Datos!J17,Datos!J17+Datos!AD17)),IF(D_I="SI",Datos!J17,Datos!J17+Datos!AD17)," - ")</f>
        <v>1152</v>
      </c>
      <c r="F17" s="452">
        <f>IF(ISNUMBER(E17/B17),E17/B17," - ")</f>
        <v>288</v>
      </c>
      <c r="G17" s="451">
        <f>IF(ISNUMBER(IF(D_I="SI",Datos!K17,Datos!K17+Datos!AE17)),IF(D_I="SI",Datos!K17,Datos!K17+Datos!AE17)," - ")</f>
        <v>1072</v>
      </c>
      <c r="H17" s="452">
        <f>IF(ISNUMBER(G17/B17),G17/B17," - ")</f>
        <v>268</v>
      </c>
      <c r="I17" s="451">
        <f>IF(ISNUMBER(IF(D_I="SI",Datos!L17,Datos!L17+Datos!AF17)),IF(D_I="SI",Datos!L17,Datos!L17+Datos!AF17)," - ")</f>
        <v>1314</v>
      </c>
      <c r="J17" s="452">
        <f>IF(ISNUMBER(I17/B17),I17/B17," - ")</f>
        <v>328.5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50</v>
      </c>
      <c r="F18" s="452">
        <f>IF(ISNUMBER(E18/B18),E18/B18," - ")</f>
        <v>50</v>
      </c>
      <c r="G18" s="451">
        <f>IF(ISNUMBER(IF(D_I="SI",Datos!K18,Datos!K18+Datos!AE18)),IF(D_I="SI",Datos!K18,Datos!K18+Datos!AE18)," - ")</f>
        <v>51</v>
      </c>
      <c r="H18" s="452">
        <f>IF(ISNUMBER(G18/B18),G18/B18," - ")</f>
        <v>51</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1266</v>
      </c>
      <c r="D23" s="1147" t="str">
        <f>IF(ISNUMBER(C23/Datos!BI23),C23/Datos!BI23," - ")</f>
        <v xml:space="preserve"> - </v>
      </c>
      <c r="E23" s="1146">
        <f>SUBTOTAL(9,E15:E22)</f>
        <v>1202</v>
      </c>
      <c r="F23" s="1147">
        <f>IF(ISNUMBER(E23/B23),E23/B23," - ")</f>
        <v>300.5</v>
      </c>
      <c r="G23" s="1146">
        <f>SUBTOTAL(9,G15:G22)</f>
        <v>1123</v>
      </c>
      <c r="H23" s="1147">
        <f>IF(ISNUMBER(G23/B23),G23/B23," - ")</f>
        <v>280.75</v>
      </c>
      <c r="I23" s="1146">
        <f>SUBTOTAL(9,I15:I22)</f>
        <v>1345</v>
      </c>
      <c r="J23" s="1147">
        <f>IF(ISNUMBER(I23/B23),I23/B23," - ")</f>
        <v>336.25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4455</v>
      </c>
      <c r="D31" s="1085" t="str">
        <f>IF(ISNUMBER(C31/Datos!BI31),C31/Datos!BI31," - ")</f>
        <v xml:space="preserve"> - </v>
      </c>
      <c r="E31" s="1084">
        <f>SUBTOTAL(9,E9:E30)</f>
        <v>2259</v>
      </c>
      <c r="F31" s="1085">
        <f>IF(ISNUMBER(E31/B31),E31/B31," - ")</f>
        <v>564.75</v>
      </c>
      <c r="G31" s="1084">
        <f>SUBTOTAL(9,G9:G30)</f>
        <v>2089</v>
      </c>
      <c r="H31" s="1085">
        <f>IF(ISNUMBER(G31/B31),G31/B31," - ")</f>
        <v>522.25</v>
      </c>
      <c r="I31" s="1084">
        <f>SUBTOTAL(9,I9:I30)</f>
        <v>4625</v>
      </c>
      <c r="J31" s="1085">
        <f>IF(ISNUMBER(I31/B31),I31/B31," - ")</f>
        <v>1156.25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G6Y4yRfrEJaToVc7vd87ZwSuxwxdsG2kXHUFkwSvbROsGLYtaTAAsOAWn29lEM1ySA+zWUqj39/qYM3Xegfcw==" saltValue="+5v0hW5jNHqVvl/akVfr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LA BISBAL D'EMPORDA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186</v>
      </c>
      <c r="AM12" s="914">
        <f>IF(ISNUMBER(Datos!N12+DatosP!N17),Datos!N12+DatosP!N17," - ")</f>
        <v>321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10.195629552549429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1.5532774153463809E-2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613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513</v>
      </c>
      <c r="AE14" s="1257">
        <f t="shared" si="1"/>
        <v>0</v>
      </c>
      <c r="AF14" s="1257">
        <f t="shared" si="1"/>
        <v>14</v>
      </c>
      <c r="AG14" s="1257">
        <f t="shared" si="1"/>
        <v>0</v>
      </c>
      <c r="AH14" s="1257">
        <f t="shared" si="1"/>
        <v>6538</v>
      </c>
      <c r="AI14" s="1257">
        <f t="shared" si="1"/>
        <v>0</v>
      </c>
      <c r="AJ14" s="1257">
        <f t="shared" si="1"/>
        <v>0</v>
      </c>
      <c r="AK14" s="1257">
        <f t="shared" si="1"/>
        <v>0</v>
      </c>
      <c r="AL14" s="1257">
        <f t="shared" si="1"/>
        <v>188</v>
      </c>
      <c r="AM14" s="1257">
        <f t="shared" si="1"/>
        <v>321</v>
      </c>
      <c r="AN14" s="1257">
        <f t="shared" si="1"/>
        <v>0</v>
      </c>
      <c r="AO14" s="1257">
        <f t="shared" si="1"/>
        <v>0</v>
      </c>
      <c r="AP14" s="1262">
        <f>IF(ISNUMBER(((Datos!L14/Datos!K14)*11)/factor_trimestre),((Datos!L14/Datos!K14)*11)/factor_trimestre," - ")</f>
        <v>10.571739130434782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-0.35714285714285715</v>
      </c>
      <c r="AU14" s="1257" t="str">
        <f>IF(ISNUMBER((DatosP!#REF!-DatosP!#REF!+DatosP!#REF!)/(DatosP!#REF!+DatosP!#REF!-DatosP!#REF!-DatosP!#REF!)),(DatosP!#REF!-DatosP!#REF!+DatosP!#REF!)/(DatosP!#REF!+DatosP!#REF!-DatosP!#REF!-DatosP!#REF!)," - ")</f>
        <v xml:space="preserve"> - </v>
      </c>
      <c r="AV14" s="1263">
        <f>SUBTOTAL(9,AV9:AV13)</f>
        <v>1.5532774153463809E-2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3.5930543187889583</v>
      </c>
      <c r="AQ23" s="1262">
        <f>IF(ISNUMBER(((Datos!M23/Datos!L23)*11)/factor_trimestre),((Datos!M23/Datos!L23)*11)/factor_trimestre," - ")</f>
        <v>0.31895910780669146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-5.6737588652482268E-2</v>
      </c>
      <c r="AW23" s="1265">
        <f>IF(ISNUMBER((Datos!Q23-Datos!R23)/(Datos!S23-Datos!Q23+Datos!R23)),(Datos!Q23-Datos!R23)/(Datos!S23-Datos!Q23+Datos!R23)," - ")</f>
        <v>-9.1463414634146339E-2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613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513</v>
      </c>
      <c r="AE31" s="1284">
        <f t="shared" si="9"/>
        <v>0</v>
      </c>
      <c r="AF31" s="1285">
        <f t="shared" si="9"/>
        <v>14</v>
      </c>
      <c r="AG31" s="1285">
        <f t="shared" si="9"/>
        <v>0</v>
      </c>
      <c r="AH31" s="1285">
        <f t="shared" si="9"/>
        <v>6538</v>
      </c>
      <c r="AI31" s="1285">
        <f t="shared" si="9"/>
        <v>0</v>
      </c>
      <c r="AJ31" s="1286">
        <f t="shared" si="9"/>
        <v>0</v>
      </c>
      <c r="AK31" s="1286">
        <f t="shared" si="9"/>
        <v>0</v>
      </c>
      <c r="AL31" s="1278">
        <f t="shared" si="9"/>
        <v>188</v>
      </c>
      <c r="AM31" s="1278">
        <f t="shared" si="9"/>
        <v>321</v>
      </c>
      <c r="AN31" s="1278">
        <f t="shared" si="9"/>
        <v>0</v>
      </c>
      <c r="AO31" s="1278">
        <f t="shared" si="9"/>
        <v>0</v>
      </c>
      <c r="AP31" s="1278">
        <f>IF(ISNUMBER(((Datos!L31/Datos!K31)*11)/factor_trimestre),((Datos!L31/Datos!K31)*11)/factor_trimestre," - ")</f>
        <v>6.7356828193832605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-0.35714285714285715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1.3773270773422127E-2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96.313377402449476</v>
      </c>
      <c r="AM33" s="1006"/>
      <c r="AN33" s="1006">
        <f>IF(ISNUMBER(STDEV(AN8:AN30)),STDEV(AN8:AN30),"-")</f>
        <v>0</v>
      </c>
      <c r="AO33" s="1012">
        <f>IF(ISNUMBER(STDEV(AO8:AO30)),STDEV(AO8:AO30),"-")</f>
        <v>0</v>
      </c>
      <c r="AP33" s="1065">
        <f>IF(ISNUMBER(STDEV(AP8:AP30)),STDEV(AP8:AP30),"-")</f>
        <v>3.2078674504399372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EBW5EjRQbsyrNs8Qr+jUUCfvpC+hoVBittHtFtmd56ZMoaJxPfCKh92wzSVFVS7enQg5jmT6uTKwNRQjZKIsg==" saltValue="DvNlMpI8SgI7b8MtcAJP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LA BISBAL D'EMPORDA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zyHRVrgIbVbPpP1mz4A+RRi2zB6ZjApmo3BV4VlCDIDUJv05sx9WLIkQdHdN/ztFAJeQIsl8oSz3oTXDmeG2A==" saltValue="+VjcKIDCVRB2x3g4muX+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LA BISBAL D'EMPORDA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186</v>
      </c>
      <c r="E12" s="452">
        <f t="shared" si="0"/>
        <v>46.5</v>
      </c>
      <c r="F12" s="451">
        <f>IF(ISNUMBER(Datos!N12),Datos!N12," - ")</f>
        <v>321</v>
      </c>
      <c r="G12" s="452">
        <f t="shared" si="1"/>
        <v>80.25</v>
      </c>
      <c r="H12" s="451">
        <f>IF(ISNUMBER(Datos!O12),Datos!O12," - ")</f>
        <v>498</v>
      </c>
      <c r="I12" s="452">
        <f t="shared" si="2"/>
        <v>124.5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188</v>
      </c>
      <c r="E14" s="1147">
        <f t="shared" si="0"/>
        <v>37.6</v>
      </c>
      <c r="F14" s="1146">
        <f>SUBTOTAL(9,F9:F13)</f>
        <v>321</v>
      </c>
      <c r="G14" s="1147">
        <f t="shared" si="1"/>
        <v>64.2</v>
      </c>
      <c r="H14" s="1146">
        <f>SUBTOTAL(9,H9:H13)</f>
        <v>499</v>
      </c>
      <c r="I14" s="1147">
        <f>IF(ISNUMBER(H14/B14),H14/B14," - ")</f>
        <v>99.8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139</v>
      </c>
      <c r="E17" s="452">
        <f t="shared" si="3"/>
        <v>34.75</v>
      </c>
      <c r="F17" s="451">
        <f>IF(ISNUMBER(Datos!N17),Datos!N17," - ")</f>
        <v>748</v>
      </c>
      <c r="G17" s="452">
        <f t="shared" si="4"/>
        <v>187</v>
      </c>
      <c r="H17" s="451">
        <f>IF(ISNUMBER(Datos!O17),Datos!O17," - ")</f>
        <v>15</v>
      </c>
      <c r="I17" s="452">
        <f t="shared" si="5"/>
        <v>3.75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143</v>
      </c>
      <c r="E23" s="1147">
        <f t="shared" si="3"/>
        <v>28.6</v>
      </c>
      <c r="F23" s="1146">
        <f>SUBTOTAL(9,F16:F22)</f>
        <v>799</v>
      </c>
      <c r="G23" s="1147">
        <f t="shared" si="4"/>
        <v>159.80000000000001</v>
      </c>
      <c r="H23" s="1146">
        <f>SUBTOTAL(9,H16:H22)</f>
        <v>15</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331</v>
      </c>
      <c r="E31" s="1085">
        <f>IF(ISNUMBER(D31/B31),D31/B31," - ")</f>
        <v>82.75</v>
      </c>
      <c r="F31" s="1084">
        <f>SUBTOTAL(9,F8:F30)</f>
        <v>1120</v>
      </c>
      <c r="G31" s="1085">
        <f>IF(ISNUMBER(F31/B31),F31/B31," - ")</f>
        <v>280</v>
      </c>
      <c r="H31" s="1084">
        <f>SUBTOTAL(9,H8:H30)</f>
        <v>514</v>
      </c>
      <c r="I31" s="1085">
        <f>IF(ISNUMBER(H31/B31),H31/B31," - ")</f>
        <v>128.5</v>
      </c>
    </row>
    <row r="34" spans="1:1">
      <c r="A34" s="439" t="str">
        <f>Criterios!A4</f>
        <v>Fecha Informe: 06 may. 2023</v>
      </c>
    </row>
    <row r="39" spans="1:1">
      <c r="A39" s="462"/>
    </row>
  </sheetData>
  <sheetProtection algorithmName="SHA-512" hashValue="FcHkELaba6PuC1RXY7rAMcHCDQ+xRpthopLChQ8IeRopurdC3kHO8xIDQJXLMDpP9quDwmsLUJyOer/dfR6yhw==" saltValue="Gl5qI3YPknU9QIlKcrgM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LA BISBAL D'EMPORDA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613</v>
      </c>
      <c r="C12" s="489">
        <f>IF(ISNUMBER(Datos!Q12),Datos!Q12," - ")</f>
        <v>513</v>
      </c>
      <c r="D12" s="456">
        <f>IF(ISNUMBER(Datos!R12),Datos!R12," - ")</f>
        <v>6538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613</v>
      </c>
      <c r="C14" s="1150">
        <f>SUBTOTAL(9,C9:C13)</f>
        <v>514</v>
      </c>
      <c r="D14" s="1148">
        <f>SUBTOTAL(9,D9:D13)</f>
        <v>6565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27</v>
      </c>
      <c r="D17" s="456">
        <f>IF(ISNUMBER(Datos!R17),Datos!R17," - ")</f>
        <v>133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28</v>
      </c>
      <c r="D23" s="1148">
        <f>SUBTOTAL(9,D16:D22)</f>
        <v>133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633</v>
      </c>
      <c r="C31" s="1089">
        <f>SUBTOTAL(9,C8:C30)</f>
        <v>542</v>
      </c>
      <c r="D31" s="1090">
        <f>SUBTOTAL(9,D8:D30)</f>
        <v>6698</v>
      </c>
    </row>
    <row r="32" spans="1:4" ht="7.5" customHeight="1"/>
    <row r="33" spans="1:1" ht="6" customHeight="1"/>
    <row r="34" spans="1:1">
      <c r="A34" s="439" t="str">
        <f>Criterios!A4</f>
        <v>Fecha Informe: 06 may. 2023</v>
      </c>
    </row>
    <row r="39" spans="1:1">
      <c r="A39" s="462"/>
    </row>
  </sheetData>
  <sheetProtection algorithmName="SHA-512" hashValue="ZKlo/tK694YURNUESr2QaezVESkxI4h4OnYKS/qI1i3aMeeV83jvaKBXKPBdgt17Gy4NvVOSo+/X6HcUtQwRlA==" saltValue="vpTyYA/OZrTuyWF2xPev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LA BISBAL D'EMPORDA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-0.36363636363636365</v>
      </c>
      <c r="C10" s="515">
        <f>IF(ISNUMBER((Datos!J10-Datos!T10)/Datos!T10),(Datos!J10-Datos!T10)/Datos!T10," - ")</f>
        <v>0</v>
      </c>
      <c r="D10" s="515">
        <f>IF(ISNUMBER((Datos!K10-Datos!U10)/Datos!U10),(Datos!K10-Datos!U10)/Datos!U10," - ")</f>
        <v>-0.5</v>
      </c>
      <c r="E10" s="515">
        <f>IF(ISNUMBER((Datos!L10-Datos!V10)/Datos!V10),(Datos!L10-Datos!V10)/Datos!V10," - ")</f>
        <v>-0.17647058823529413</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0.64705882352941169</v>
      </c>
      <c r="J10" s="521">
        <f>IF(ISNUMBER((('Resol  Asuntos'!D10/NºAsuntos!G10)-Datos!BF10)/Datos!BF10),(('Resol  Asuntos'!D10/NºAsuntos!G10)-Datos!BF10)/Datos!BF10," - ")</f>
        <v>0</v>
      </c>
      <c r="K10" s="522">
        <f>IF(ISNUMBER((((NºAsuntos!C10+NºAsuntos!E10)/NºAsuntos!G10)-Datos!BG10)/Datos!BG10),(((NºAsuntos!C10+NºAsuntos!E10)/NºAsuntos!G10)-Datos!BG10)/Datos!BG10," - ")</f>
        <v>0.40740740740740727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0.14538239538239539</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0.21954314720812182</v>
      </c>
      <c r="E12" s="515">
        <f>IF(ISNUMBER(
   IF(J_V="SI",(Datos!L12-Datos!V12)/Datos!V12,(Datos!L12+Datos!AB12-(Datos!V12+Datos!AJ12))/(Datos!V12+Datos!AJ12))
     ),IF(J_V="SI",(Datos!L12-Datos!V12)/Datos!V12,(Datos!L12+Datos!AB12-(Datos!V12+Datos!AJ12))/(Datos!V12+Datos!AJ12))," - ")</f>
        <v>7.575757575757576E-2</v>
      </c>
      <c r="F12" s="515">
        <f>IF(ISNUMBER((Datos!M12-Datos!W12)/Datos!W12),(Datos!M12-Datos!W12)/Datos!W12," - ")</f>
        <v>-0.1388888888888889</v>
      </c>
      <c r="G12" s="516">
        <f>IF(ISNUMBER((Datos!N12-Datos!X12)/Datos!X12),(Datos!N12-Datos!X12)/Datos!X12," - ")</f>
        <v>1.5822784810126583E-2</v>
      </c>
      <c r="H12" s="514">
        <f>IF(ISNUMBER(((NºAsuntos!G12/NºAsuntos!E12)-Datos!BD12)/Datos!BD12),((NºAsuntos!G12/NºAsuntos!E12)-Datos!BD12)/Datos!BD12," - ")</f>
        <v>0.21954314720812182</v>
      </c>
      <c r="I12" s="515">
        <f>IF(ISNUMBER(((NºAsuntos!I12/NºAsuntos!G12)-Datos!BE12)/Datos!BE12),((NºAsuntos!I12/NºAsuntos!G12)-Datos!BE12)/Datos!BE12," - ")</f>
        <v>-0.11790117617380881</v>
      </c>
      <c r="J12" s="521">
        <f>IF(ISNUMBER((('Resol  Asuntos'!D12/NºAsuntos!G12)-Datos!BF12)/Datos!BF12),(('Resol  Asuntos'!D12/NºAsuntos!G12)-Datos!BF12)/Datos!BF12," - ")</f>
        <v>-0.51735402204981629</v>
      </c>
      <c r="K12" s="522">
        <f>IF(ISNUMBER((((NºAsuntos!C12+NºAsuntos!E12)/NºAsuntos!G12)-Datos!BG12)/Datos!BG12),(((NºAsuntos!C12+NºAsuntos!E12)/NºAsuntos!G12)-Datos!BG12)/Datos!BG12," - ")</f>
        <v>-9.3605640916235244E-2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0.14137437365783823</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0.21052631578947367</v>
      </c>
      <c r="E14" s="1152">
        <f>IF(ISNUMBER(
   IF(J_V="SI",(Datos!L14-Datos!V14)/Datos!V14,(Datos!L14+Datos!AB14-(Datos!V14+Datos!AJ14))/(Datos!V14+Datos!AJ14))
     ),IF(J_V="SI",(Datos!L14-Datos!V14)/Datos!V14,(Datos!L14+Datos!AB14-(Datos!V14+Datos!AJ14))/(Datos!V14+Datos!AJ14))," - ")</f>
        <v>7.4353095316082543E-2</v>
      </c>
      <c r="F14" s="1153">
        <f>IF(ISNUMBER((Datos!M14-Datos!W14)/Datos!W14),(Datos!M14-Datos!W14)/Datos!W14," - ")</f>
        <v>-0.14545454545454545</v>
      </c>
      <c r="G14" s="1154">
        <f>IF(ISNUMBER((Datos!N14-Datos!X14)/Datos!X14),(Datos!N14-Datos!X14)/Datos!X14," - ")</f>
        <v>1.5822784810126583E-2</v>
      </c>
      <c r="H14" s="1154">
        <f>IF(ISNUMBER(((NºAsuntos!G14/NºAsuntos!E14)-Datos!BD14)/Datos!BD14),((NºAsuntos!G14/NºAsuntos!E14)-Datos!BD14)/Datos!BD14," - ")</f>
        <v>0.21052631578947373</v>
      </c>
      <c r="I14" s="1154">
        <f>IF(ISNUMBER(((NºAsuntos!I14/NºAsuntos!G14)-Datos!BE14)/Datos!BE14),((NºAsuntos!I14/NºAsuntos!G14)-Datos!BE14)/Datos!BE14," - ")</f>
        <v>-0.11249092126062743</v>
      </c>
      <c r="J14" s="1154">
        <f>IF(ISNUMBER((('Resol  Asuntos'!D14/NºAsuntos!G14)-Datos!BF14)/Datos!BF14),(('Resol  Asuntos'!D14/NºAsuntos!G14)-Datos!BF14)/Datos!BF14," - ")</f>
        <v>-0.51467391304347831</v>
      </c>
      <c r="K14" s="1154">
        <f>IF(ISNUMBER((((NºAsuntos!C14+NºAsuntos!E14)/NºAsuntos!G14)-Datos!BG14)/Datos!BG14),(((NºAsuntos!C14+NºAsuntos!E14)/NºAsuntos!G14)-Datos!BG14)/Datos!BG14," - ")</f>
        <v>-8.9180675826719263E-2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0.21936758893280633</v>
      </c>
      <c r="C17" s="515">
        <f>IF(ISNUMBER(
   IF(D_I="SI",(Datos!J17-Datos!T17)/Datos!T17,(Datos!J17+Datos!AD17-(Datos!T17+Datos!AL17))/(Datos!T17+Datos!AL17))
     ),IF(D_I="SI",(Datos!J17-Datos!T17)/Datos!T17,(Datos!J17+Datos!AD17-(Datos!T17+Datos!AL17))/(Datos!T17+Datos!AL17))," - ")</f>
        <v>0.19875130072840791</v>
      </c>
      <c r="D17" s="515">
        <f>IF(ISNUMBER(
   IF(D_I="SI",(Datos!K17-Datos!U17)/Datos!U17,(Datos!K17+Datos!AE17-(Datos!U17+Datos!AM17))/(Datos!U17+Datos!AM17))
     ),IF(D_I="SI",(Datos!K17-Datos!U17)/Datos!U17,(Datos!K17+Datos!AE17-(Datos!U17+Datos!AM17))/(Datos!U17+Datos!AM17))," - ")</f>
        <v>0.16143011917659805</v>
      </c>
      <c r="E17" s="515">
        <f>IF(ISNUMBER(
   IF(D_I="SI",(Datos!L17-Datos!V17)/Datos!V17,(Datos!L17+Datos!AF17-(Datos!V17+Datos!AN17))/(Datos!V17+Datos!AN17))
     ),IF(D_I="SI",(Datos!L17-Datos!V17)/Datos!V17,(Datos!L17+Datos!AF17-(Datos!V17+Datos!AN17))/(Datos!V17+Datos!AN17))," - ")</f>
        <v>0.25142857142857145</v>
      </c>
      <c r="F17" s="515">
        <f>IF(ISNUMBER((Datos!M17-Datos!W17)/Datos!W17),(Datos!M17-Datos!W17)/Datos!W17," - ")</f>
        <v>-0.13664596273291926</v>
      </c>
      <c r="G17" s="516">
        <f>IF(ISNUMBER((Datos!N17-Datos!X17)/Datos!X17),(Datos!N17-Datos!X17)/Datos!X17," - ")</f>
        <v>0.22422258592471359</v>
      </c>
      <c r="H17" s="514">
        <f>IF(ISNUMBER(((NºAsuntos!G17/NºAsuntos!E17)-Datos!BD17)/Datos!BD17),((NºAsuntos!G17/NºAsuntos!E17)-Datos!BD17)/Datos!BD17," - ")</f>
        <v>-3.1133381485494178E-2</v>
      </c>
      <c r="I17" s="515">
        <f>IF(ISNUMBER(((NºAsuntos!I17/NºAsuntos!G17)-Datos!BE17)/Datos!BE17),((NºAsuntos!I17/NºAsuntos!G17)-Datos!BE17)/Datos!BE17," - ")</f>
        <v>7.7489339019189876E-2</v>
      </c>
      <c r="J17" s="521">
        <f>IF(ISNUMBER((('Resol  Asuntos'!D17/NºAsuntos!G17)-Datos!BF17)/Datos!BF17),(('Resol  Asuntos'!D17/NºAsuntos!G17)-Datos!BF17)/Datos!BF17," - ")</f>
        <v>-0.2566457309724669</v>
      </c>
      <c r="K17" s="522">
        <f>IF(ISNUMBER((((NºAsuntos!C17+NºAsuntos!E17)/NºAsuntos!G17)-Datos!BG17)/Datos!BG17),(((NºAsuntos!C17+NºAsuntos!E17)/NºAsuntos!G17)-Datos!BG17)/Datos!BG17," - ")</f>
        <v>4.1238624414672652E-2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3.2258064516129031E-2</v>
      </c>
      <c r="C18" s="515">
        <f>IF(ISNUMBER(
   IF(D_I="SI",(Datos!J18-Datos!T18)/Datos!T18,(Datos!J18+Datos!AD18-(Datos!T18+Datos!AL18))/(Datos!T18+Datos!AL18))
     ),IF(D_I="SI",(Datos!J18-Datos!T18)/Datos!T18,(Datos!J18+Datos!AD18-(Datos!T18+Datos!AL18))/(Datos!T18+Datos!AL18))," - ")</f>
        <v>-1.9607843137254902E-2</v>
      </c>
      <c r="D18" s="515">
        <f>IF(ISNUMBER(
   IF(D_I="SI",(Datos!K18-Datos!U18)/Datos!U18,(Datos!K18+Datos!AE18-(Datos!U18+Datos!AM18))/(Datos!U18+Datos!AM18))
     ),IF(D_I="SI",(Datos!K18-Datos!U18)/Datos!U18,(Datos!K18+Datos!AE18-(Datos!U18+Datos!AM18))/(Datos!U18+Datos!AM18))," - ")</f>
        <v>4.0816326530612242E-2</v>
      </c>
      <c r="E18" s="515">
        <f>IF(ISNUMBER(
   IF(D_I="SI",(Datos!L18-Datos!V18)/Datos!V18,(Datos!L18+Datos!AF18-(Datos!V18+Datos!AN18))/(Datos!V18+Datos!AN18))
     ),IF(D_I="SI",(Datos!L18-Datos!V18)/Datos!V18,(Datos!L18+Datos!AF18-(Datos!V18+Datos!AN18))/(Datos!V18+Datos!AN18))," - ")</f>
        <v>-6.0606060606060608E-2</v>
      </c>
      <c r="F18" s="515">
        <f>IF(ISNUMBER((Datos!M18-Datos!W18)/Datos!W18),(Datos!M18-Datos!W18)/Datos!W18," - ")</f>
        <v>0</v>
      </c>
      <c r="G18" s="516">
        <f>IF(ISNUMBER((Datos!N18-Datos!X18)/Datos!X18),(Datos!N18-Datos!X18)/Datos!X18," - ")</f>
        <v>-5.5555555555555552E-2</v>
      </c>
      <c r="H18" s="514">
        <f>IF(ISNUMBER(((NºAsuntos!G18/NºAsuntos!E18)-Datos!BD18)/Datos!BD18),((NºAsuntos!G18/NºAsuntos!E18)-Datos!BD18)/Datos!BD18," - ")</f>
        <v>6.1632653061224479E-2</v>
      </c>
      <c r="I18" s="515">
        <f>IF(ISNUMBER(((NºAsuntos!I18/NºAsuntos!G18)-Datos!BE18)/Datos!BE18),((NºAsuntos!I18/NºAsuntos!G18)-Datos!BE18)/Datos!BE18," - ")</f>
        <v>-9.7445038621509245E-2</v>
      </c>
      <c r="J18" s="521">
        <f>IF(ISNUMBER((('Resol  Asuntos'!D18/NºAsuntos!G18)-Datos!BF18)/Datos!BF18),(('Resol  Asuntos'!D18/NºAsuntos!G18)-Datos!BF18)/Datos!BF18," - ")</f>
        <v>-3.9215686274509741E-2</v>
      </c>
      <c r="K18" s="522">
        <f>IF(ISNUMBER((((NºAsuntos!C18+NºAsuntos!E18)/NºAsuntos!G18)-Datos!BG18)/Datos!BG18),(((NºAsuntos!C18+NºAsuntos!E18)/NºAsuntos!G18)-Datos!BG18)/Datos!BG18," - ")</f>
        <v>-3.9215686274509817E-2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0.21380632790028764</v>
      </c>
      <c r="C23" s="1152">
        <f>IF(ISNUMBER(
   IF(Criterios!B14="SI",(Datos!J23-Datos!T23)/Datos!T23,(Datos!J23+Datos!AD23-(Datos!T23+Datos!AL23))/(Datos!T23+Datos!AL23))
     ),IF(Criterios!B14="SI",(Datos!J23-Datos!T23)/Datos!T23,(Datos!J23+Datos!AD23-(Datos!T23+Datos!AL23))/(Datos!T23+Datos!AL23))," - ")</f>
        <v>0.18774703557312253</v>
      </c>
      <c r="D23" s="1152">
        <f>IF(ISNUMBER(
   IF(Criterios!B14="SI",(Datos!K23-Datos!U23)/Datos!U23,(Datos!K23+Datos!AE23-(Datos!U23+Datos!AM23))/(Datos!U23+Datos!AM23))
     ),IF(Criterios!B14="SI",(Datos!K23-Datos!U23)/Datos!U23,(Datos!K23+Datos!AE23-(Datos!U23+Datos!AM23))/(Datos!U23+Datos!AM23))," - ")</f>
        <v>0.15534979423868311</v>
      </c>
      <c r="E23" s="1152">
        <f>IF(ISNUMBER(
   IF(Criterios!B14="SI",(Datos!L23-Datos!V23)/Datos!V23,(Datos!L23+Datos!AF23-(Datos!V23+Datos!AN23))/(Datos!V23+Datos!AN23))
     ),IF(Criterios!B14="SI",(Datos!L23-Datos!V23)/Datos!V23,(Datos!L23+Datos!AF23-(Datos!V23+Datos!AN23))/(Datos!V23+Datos!AN23))," - ")</f>
        <v>0.24192059095106186</v>
      </c>
      <c r="F23" s="1153">
        <f>IF(ISNUMBER((Datos!M23-Datos!W23)/Datos!W23),(Datos!M23-Datos!W23)/Datos!W23," - ")</f>
        <v>-0.13333333333333333</v>
      </c>
      <c r="G23" s="1154">
        <f>IF(ISNUMBER((Datos!N23-Datos!X23)/Datos!X23),(Datos!N23-Datos!X23)/Datos!X23," - ")</f>
        <v>0.20150375939849624</v>
      </c>
      <c r="H23" s="1154">
        <f>IF(ISNUMBER(((NºAsuntos!G23/NºAsuntos!E23)-Datos!BD23)/Datos!BD23),((NºAsuntos!G23/NºAsuntos!E23)-Datos!BD23)/Datos!BD23," - ")</f>
        <v>-2.7276213170093801E-2</v>
      </c>
      <c r="I23" s="1154">
        <f>IF(ISNUMBER(((NºAsuntos!I23/NºAsuntos!G23)-Datos!BE23)/Datos!BE23),((NºAsuntos!I23/NºAsuntos!G23)-Datos!BE23)/Datos!BE23," - ")</f>
        <v>7.493037792024225E-2</v>
      </c>
      <c r="J23" s="1154">
        <f>IF(ISNUMBER((('Resol  Asuntos'!D23/NºAsuntos!G23)-Datos!BF23)/Datos!BF23),(('Resol  Asuntos'!D23/NºAsuntos!G23)-Datos!BF23)/Datos!BF23," - ")</f>
        <v>-0.24986642920747998</v>
      </c>
      <c r="K23" s="1154">
        <f>IF(ISNUMBER((((NºAsuntos!C23+NºAsuntos!E23)/NºAsuntos!G23)-Datos!BG23)/Datos!BG23),(((NºAsuntos!C23+NºAsuntos!E23)/NºAsuntos!G23)-Datos!BG23)/Datos!BG23," - ")</f>
        <v>3.948885610103299E-2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0.16106333072713058</v>
      </c>
      <c r="C31" s="1092">
        <f>IF(ISNUMBER(
   IF(J_V="SI",(Datos!J31-Datos!T31)/Datos!T31,(Datos!J31+Datos!Z31-(Datos!T31+Datos!AH31))/(Datos!T31+Datos!AH31))
     ),IF(J_V="SI",(Datos!J31-Datos!T31)/Datos!T31,(Datos!J31+Datos!Z31-(Datos!T31+Datos!AH31))/(Datos!T31+Datos!AH31))," - ")</f>
        <v>9.1831802803286608E-2</v>
      </c>
      <c r="D31" s="1092">
        <f>IF(ISNUMBER(
   IF(J_V="SI",(Datos!K31-Datos!U31)/Datos!U31,(Datos!K31+Datos!AA31-(Datos!U31+Datos!AI31))/(Datos!U31+Datos!AI31))
     ),IF(J_V="SI",(Datos!K31-Datos!U31)/Datos!U31,(Datos!K31+Datos!AA31-(Datos!U31+Datos!AI31))/(Datos!U31+Datos!AI31))," - ")</f>
        <v>0.18022598870056497</v>
      </c>
      <c r="E31" s="1092">
        <f>IF(ISNUMBER(
   IF(J_V="SI",(Datos!L31-Datos!V31)/Datos!V31,(Datos!L31+Datos!AB31-(Datos!V31+Datos!AJ31))/(Datos!V31+Datos!AJ31))
     ),IF(J_V="SI",(Datos!L31-Datos!V31)/Datos!V31,(Datos!L31+Datos!AB31-(Datos!V31+Datos!AJ31))/(Datos!V31+Datos!AJ31))," - ")</f>
        <v>0.11823017408123791</v>
      </c>
      <c r="F31" s="1093">
        <f>IF(ISNUMBER((Datos!M31-Datos!W31)/Datos!W31),(Datos!M31-Datos!W31)/Datos!W31," - ")</f>
        <v>-0.14025974025974025</v>
      </c>
      <c r="G31" s="1094">
        <f>IF(ISNUMBER((Datos!N31-Datos!X31)/Datos!X31),(Datos!N31-Datos!X31)/Datos!X31," - ")</f>
        <v>0.14169215086646278</v>
      </c>
      <c r="H31" s="1095">
        <f>IF(ISNUMBER((Tasas!B31-Datos!BD31)/Datos!BD31),(Tasas!B31-Datos!BD31)/Datos!BD31," - ")</f>
        <v>8.0959526614196101E-2</v>
      </c>
      <c r="I31" s="1096">
        <f>IF(ISNUMBER((Tasas!C31-Datos!BE31)/Datos!BE31),(Tasas!C31-Datos!BE31)/Datos!BE31," - ")</f>
        <v>-5.2528765857447902E-2</v>
      </c>
      <c r="J31" s="1097">
        <f>IF(ISNUMBER((Tasas!D31-Datos!BF31)/Datos!BF31),(Tasas!D31-Datos!BF31)/Datos!BF31," - ")</f>
        <v>-0.42174275660923927</v>
      </c>
      <c r="K31" s="1097">
        <f>IF(ISNUMBER((Tasas!E31-Datos!BG31)/Datos!BG31),(Tasas!E31-Datos!BG31)/Datos!BG31," - ")</f>
        <v>-3.6786145544599476E-2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LKBjrYULH5ZB7ymC5hlVyPfw3ZfADMcf0c/k25z3FtIj1ntYjOvbYzYUoKWcWgjOBUjbloDrnLDQLabFA6lkw==" saltValue="1LQ0L+PxdUtY42KxR5sg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LA BISBAL D'EMPORDA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2.8</v>
      </c>
      <c r="D10" s="499">
        <f>IF(ISNUMBER('Resol  Asuntos'!D10/NºAsuntos!G10),'Resol  Asuntos'!D10/NºAsuntos!G10," - ")</f>
        <v>0.4</v>
      </c>
      <c r="E10" s="500">
        <f>IF(ISNUMBER((NºAsuntos!C10+NºAsuntos!E10)/NºAsuntos!G10),(NºAsuntos!C10+NºAsuntos!E10)/NºAsuntos!G10," - ")</f>
        <v>3.8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0.91349809885931554</v>
      </c>
      <c r="C12" s="498">
        <f>IF(ISNUMBER(NºAsuntos!I12/NºAsuntos!G12),NºAsuntos!I12/NºAsuntos!G12," - ")</f>
        <v>3.3985431841831426</v>
      </c>
      <c r="D12" s="499">
        <f>IF(ISNUMBER('Resol  Asuntos'!D12/NºAsuntos!G12),'Resol  Asuntos'!D12/NºAsuntos!G12," - ")</f>
        <v>0.19354838709677419</v>
      </c>
      <c r="E12" s="500">
        <f>IF(ISNUMBER((NºAsuntos!C12+NºAsuntos!E12)/NºAsuntos!G12),(NºAsuntos!C12+NºAsuntos!E12)/NºAsuntos!G12," - ")</f>
        <v>4.3985431841831426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0.91390728476821192</v>
      </c>
      <c r="C14" s="1156">
        <f>IF(ISNUMBER(NºAsuntos!I14/NºAsuntos!G14),NºAsuntos!I14/NºAsuntos!G14," - ")</f>
        <v>3.3954451345755694</v>
      </c>
      <c r="D14" s="1157">
        <f>IF(ISNUMBER('Resol  Asuntos'!D14/NºAsuntos!G14),'Resol  Asuntos'!D14/NºAsuntos!G14," - ")</f>
        <v>0.19461697722567287</v>
      </c>
      <c r="E14" s="1158">
        <f>IF(ISNUMBER((NºAsuntos!C14+NºAsuntos!E14)/NºAsuntos!G14),(NºAsuntos!C14+NºAsuntos!E14)/NºAsuntos!G14," - ")</f>
        <v>4.395445134575569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0.93055555555555558</v>
      </c>
      <c r="C17" s="498">
        <f>IF(ISNUMBER(NºAsuntos!I17/NºAsuntos!G17),NºAsuntos!I17/NºAsuntos!G17," - ")</f>
        <v>1.2257462686567164</v>
      </c>
      <c r="D17" s="499">
        <f>IF(ISNUMBER('Resol  Asuntos'!D17/NºAsuntos!G17),'Resol  Asuntos'!D17/NºAsuntos!G17," - ")</f>
        <v>0.12966417910447761</v>
      </c>
      <c r="E17" s="500">
        <f>IF(ISNUMBER((NºAsuntos!C17+NºAsuntos!E17)/NºAsuntos!G17),(NºAsuntos!C17+NºAsuntos!E17)/NºAsuntos!G17," - ")</f>
        <v>2.2257462686567164</v>
      </c>
      <c r="G17" s="523"/>
    </row>
    <row r="18" spans="1:7">
      <c r="A18" s="450" t="str">
        <f>Datos!A18</f>
        <v>Jdos. Violencia contra la mujer</v>
      </c>
      <c r="B18" s="497">
        <f>IF(ISNUMBER(NºAsuntos!G18/NºAsuntos!E18),NºAsuntos!G18/NºAsuntos!E18," - ")</f>
        <v>1.02</v>
      </c>
      <c r="C18" s="498">
        <f>IF(ISNUMBER(NºAsuntos!I18/NºAsuntos!G18),NºAsuntos!I18/NºAsuntos!G18," - ")</f>
        <v>0.60784313725490191</v>
      </c>
      <c r="D18" s="499">
        <f>IF(ISNUMBER('Resol  Asuntos'!D18/NºAsuntos!G18),'Resol  Asuntos'!D18/NºAsuntos!G18," - ")</f>
        <v>7.8431372549019607E-2</v>
      </c>
      <c r="E18" s="500">
        <f>IF(ISNUMBER((NºAsuntos!C18+NºAsuntos!E18)/NºAsuntos!G18),(NºAsuntos!C18+NºAsuntos!E18)/NºAsuntos!G18," - ")</f>
        <v>1.607843137254902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0.93427620632279529</v>
      </c>
      <c r="C23" s="1156">
        <f>IF(ISNUMBER(NºAsuntos!I23/NºAsuntos!G23),NºAsuntos!I23/NºAsuntos!G23," - ")</f>
        <v>1.1976847729296527</v>
      </c>
      <c r="D23" s="1159">
        <f>IF(ISNUMBER('Resol  Asuntos'!D23/NºAsuntos!G23),'Resol  Asuntos'!D23/NºAsuntos!G23," - ")</f>
        <v>0.12733748886910062</v>
      </c>
      <c r="E23" s="1158">
        <f>IF(ISNUMBER((NºAsuntos!C23+NºAsuntos!E23)/NºAsuntos!G23),(NºAsuntos!C23+NºAsuntos!E23)/NºAsuntos!G23," - ")</f>
        <v>2.1976847729296529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0.9247454625940682</v>
      </c>
      <c r="C31" s="1099">
        <f>IF(ISNUMBER(NºAsuntos!I31/NºAsuntos!G31),NºAsuntos!I31/NºAsuntos!G31," - ")</f>
        <v>2.2139779798946866</v>
      </c>
      <c r="D31" s="1100">
        <f>IF(ISNUMBER('Resol  Asuntos'!D31/NºAsuntos!G31),'Resol  Asuntos'!D31/NºAsuntos!G31," - ")</f>
        <v>0.15844901866921973</v>
      </c>
      <c r="E31" s="1101">
        <f>IF(ISNUMBER((NºAsuntos!C31+NºAsuntos!E31)/NºAsuntos!G31),(NºAsuntos!C31+NºAsuntos!E31)/NºAsuntos!G31," - ")</f>
        <v>3.2139779798946866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Ack7zt9ftuehOokcINvyIVbLEKD0NFKN8TZhBJQfiTtmHbpKu6iqB6qJ+dC+SezmfrKmH7ciKNgBzHzIPR7vQ==" saltValue="eyNC94WL3Ao2KXlti/4q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LA BISBAL D'EMPORDA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14</v>
      </c>
      <c r="AB10" s="374">
        <f>IF(ISNUMBER(Datos!R10),Datos!R10," - ")</f>
        <v>27</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8.4</v>
      </c>
      <c r="AN10" s="267">
        <f>IF(ISNUMBER('Resol  Asuntos'!D10/NºAsuntos!G10),'Resol  Asuntos'!D10/NºAsuntos!G10," - ")</f>
        <v>0.4</v>
      </c>
      <c r="AO10" s="268">
        <f>IF(ISNUMBER((NºAsuntos!C10+NºAsuntos!E10)/NºAsuntos!G10),(NºAsuntos!C10+NºAsuntos!E10)/NºAsuntos!G10," - ")</f>
        <v>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513</v>
      </c>
      <c r="Y12" s="374">
        <f t="shared" si="0"/>
        <v>513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186</v>
      </c>
      <c r="AJ12" s="243" t="str">
        <f>IF(ISNUMBER(Datos!BW12),Datos!BW12," - ")</f>
        <v xml:space="preserve"> - </v>
      </c>
      <c r="AK12" s="242" t="str">
        <f>IF(ISNUMBER(Datos!BX12),Datos!BX12," - ")</f>
        <v xml:space="preserve"> - </v>
      </c>
      <c r="AL12" s="266">
        <f>IF(ISNUMBER(NºAsuntos!G12/NºAsuntos!E12),NºAsuntos!G12/NºAsuntos!E12," - ")</f>
        <v>0.91349809885931554</v>
      </c>
      <c r="AM12" s="284">
        <f>IF(ISNUMBER(((NºAsuntos!I12/NºAsuntos!G12)*11)/factor_trimestre),((NºAsuntos!I12/NºAsuntos!G12)*11)/factor_trimestre," - ")</f>
        <v>10.195629552549429</v>
      </c>
      <c r="AN12" s="267">
        <f>IF(ISNUMBER('Resol  Asuntos'!D12/NºAsuntos!G12),'Resol  Asuntos'!D12/NºAsuntos!G12," - ")</f>
        <v>0.19354838709677419</v>
      </c>
      <c r="AO12" s="268">
        <f>IF(ISNUMBER((NºAsuntos!C12+NºAsuntos!E12)/NºAsuntos!G12),(NºAsuntos!C12+NºAsuntos!E12)/NºAsuntos!G12," - ")</f>
        <v>4.3985431841831426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613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514</v>
      </c>
      <c r="Y14" s="1165">
        <f t="shared" si="6"/>
        <v>519</v>
      </c>
      <c r="Z14" s="1165">
        <f t="shared" si="6"/>
        <v>0</v>
      </c>
      <c r="AA14" s="1165">
        <f t="shared" si="6"/>
        <v>14</v>
      </c>
      <c r="AB14" s="1165">
        <f t="shared" si="6"/>
        <v>6565</v>
      </c>
      <c r="AC14" s="1165">
        <f t="shared" si="6"/>
        <v>41</v>
      </c>
      <c r="AD14" s="1165">
        <f t="shared" si="6"/>
        <v>0</v>
      </c>
      <c r="AE14" s="1169">
        <f t="shared" si="6"/>
        <v>0</v>
      </c>
      <c r="AF14" s="1162">
        <f t="shared" si="6"/>
        <v>0</v>
      </c>
      <c r="AG14" s="1170">
        <f t="shared" si="6"/>
        <v>0</v>
      </c>
      <c r="AH14" s="1167">
        <f t="shared" si="6"/>
        <v>0</v>
      </c>
      <c r="AI14" s="1162">
        <f t="shared" si="6"/>
        <v>188</v>
      </c>
      <c r="AJ14" s="1164">
        <f t="shared" si="6"/>
        <v>0</v>
      </c>
      <c r="AK14" s="1167">
        <f>SUBTOTAL(9,AK9:AK13)</f>
        <v>0</v>
      </c>
      <c r="AL14" s="1171">
        <f>IF(ISNUMBER(NºAsuntos!G14/NºAsuntos!E14),NºAsuntos!G14/NºAsuntos!E14," - ")</f>
        <v>0.91390728476821192</v>
      </c>
      <c r="AM14" s="1171">
        <f>IF(ISNUMBER(((NºAsuntos!I14/NºAsuntos!G14)*11)/factor_trimestre),((NºAsuntos!I14/NºAsuntos!G14)*11)/factor_trimestre," - ")</f>
        <v>10.186335403726709</v>
      </c>
      <c r="AN14" s="1172">
        <f>IF(ISNUMBER('Resol  Asuntos'!D14/NºAsuntos!G14),'Resol  Asuntos'!D14/NºAsuntos!G14," - ")</f>
        <v>0.19461697722567287</v>
      </c>
      <c r="AO14" s="1173">
        <f>IF(ISNUMBER((NºAsuntos!C14+NºAsuntos!E14)/NºAsuntos!G14),(NºAsuntos!C14+NºAsuntos!E14)/NºAsuntos!G14," - ")</f>
        <v>4.395445134575569</v>
      </c>
      <c r="AP14" s="1174" t="str">
        <f t="shared" si="2"/>
        <v xml:space="preserve"> - </v>
      </c>
      <c r="AQ14" s="1174">
        <f>IF(ISNUMBER((H14-W14+K14)/(F14)),(H14-W14+K14)/(F14)," - ")</f>
        <v>-0.35714285714285715</v>
      </c>
      <c r="AR14" s="1175">
        <f>IF(ISNUMBER((Datos!P14-Datos!Q14)/(Datos!R14-Datos!P14+Datos!Q14)),(Datos!P14-Datos!Q14)/(Datos!R14-Datos!P14+Datos!Q14)," - ")</f>
        <v>1.5310856789359728E-2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1234</v>
      </c>
      <c r="G17" s="373">
        <f>IF(ISNUMBER(IF(D_I="SI",Datos!I17,Datos!I17+Datos!AC17)),IF(D_I="SI",Datos!I17,Datos!I17+Datos!AC17)," - ")</f>
        <v>1234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1072</v>
      </c>
      <c r="X17" s="240">
        <f>IF(ISNUMBER(Datos!Q17),Datos!Q17," - ")</f>
        <v>27</v>
      </c>
      <c r="Y17" s="374">
        <f t="shared" ref="Y17:Y22" si="9">SUM(W17:X17)</f>
        <v>1099</v>
      </c>
      <c r="Z17" s="375" t="str">
        <f>IF(ISNUMBER(Datos!CC17),Datos!CC17," - ")</f>
        <v xml:space="preserve"> - </v>
      </c>
      <c r="AA17" s="372">
        <f>IF(ISNUMBER(IF(D_I="SI",Datos!L17,Datos!L17+Datos!AF17)),IF(D_I="SI",Datos!L17,Datos!L17+Datos!AF17)," - ")</f>
        <v>1314</v>
      </c>
      <c r="AB17" s="374">
        <f>IF(ISNUMBER(Datos!R17),Datos!R17," - ")</f>
        <v>133</v>
      </c>
      <c r="AC17" s="374">
        <f t="shared" si="8"/>
        <v>1447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139</v>
      </c>
      <c r="AJ17" s="245" t="str">
        <f>IF(ISNUMBER(Datos!BW17),Datos!BW17," - ")</f>
        <v xml:space="preserve"> - </v>
      </c>
      <c r="AK17" s="246" t="str">
        <f>IF(ISNUMBER(Datos!BX17),Datos!BX17," - ")</f>
        <v xml:space="preserve"> - </v>
      </c>
      <c r="AL17" s="266">
        <f>IF(ISNUMBER(NºAsuntos!G17/NºAsuntos!E17),NºAsuntos!G17/NºAsuntos!E17," - ")</f>
        <v>0.93055555555555558</v>
      </c>
      <c r="AM17" s="284">
        <f>IF(ISNUMBER(((NºAsuntos!I17/NºAsuntos!G17)*11)/factor_trimestre),((NºAsuntos!I17/NºAsuntos!G17)*11)/factor_trimestre," - ")</f>
        <v>3.6772388059701493</v>
      </c>
      <c r="AN17" s="267">
        <f>IF(ISNUMBER('Resol  Asuntos'!D17/NºAsuntos!G17),'Resol  Asuntos'!D17/NºAsuntos!G17," - ")</f>
        <v>0.12966417910447761</v>
      </c>
      <c r="AO17" s="268">
        <f>IF(ISNUMBER((NºAsuntos!C17+NºAsuntos!E17)/NºAsuntos!G17),(NºAsuntos!C17+NºAsuntos!E17)/NºAsuntos!G17," - ")</f>
        <v>2.2257462686567164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1</v>
      </c>
      <c r="Y18" s="374">
        <f t="shared" si="9"/>
        <v>52</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1.02</v>
      </c>
      <c r="AM18" s="284">
        <f>IF(ISNUMBER(((NºAsuntos!I18/NºAsuntos!G18)*11)/factor_trimestre),((NºAsuntos!I18/NºAsuntos!G18)*11)/factor_trimestre," - ")</f>
        <v>1.8235294117647058</v>
      </c>
      <c r="AN18" s="267">
        <f>IF(ISNUMBER('Resol  Asuntos'!D18/NºAsuntos!G18),'Resol  Asuntos'!D18/NºAsuntos!G18," - ")</f>
        <v>7.8431372549019607E-2</v>
      </c>
      <c r="AO18" s="268">
        <f>IF(ISNUMBER((NºAsuntos!C18+NºAsuntos!E18)/NºAsuntos!G18),(NºAsuntos!C18+NºAsuntos!E18)/NºAsuntos!G18," - ")</f>
        <v>1.607843137254902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1234</v>
      </c>
      <c r="G23" s="1163">
        <f>SUBTOTAL(9,G16:G22)</f>
        <v>1266</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1123</v>
      </c>
      <c r="X23" s="1164">
        <f t="shared" si="14"/>
        <v>28</v>
      </c>
      <c r="Y23" s="1165">
        <f t="shared" si="14"/>
        <v>1151</v>
      </c>
      <c r="Z23" s="1165">
        <f t="shared" si="14"/>
        <v>0</v>
      </c>
      <c r="AA23" s="1165">
        <f t="shared" si="14"/>
        <v>1345</v>
      </c>
      <c r="AB23" s="1165">
        <f t="shared" si="14"/>
        <v>133</v>
      </c>
      <c r="AC23" s="1165">
        <f t="shared" si="14"/>
        <v>1478</v>
      </c>
      <c r="AD23" s="1165">
        <f t="shared" si="14"/>
        <v>0</v>
      </c>
      <c r="AE23" s="1169">
        <f t="shared" si="14"/>
        <v>0</v>
      </c>
      <c r="AF23" s="1162">
        <f t="shared" si="14"/>
        <v>0</v>
      </c>
      <c r="AG23" s="1170">
        <f t="shared" si="14"/>
        <v>0</v>
      </c>
      <c r="AH23" s="1167">
        <f t="shared" si="14"/>
        <v>0</v>
      </c>
      <c r="AI23" s="1162">
        <f t="shared" si="14"/>
        <v>143</v>
      </c>
      <c r="AJ23" s="1164">
        <f t="shared" si="14"/>
        <v>0</v>
      </c>
      <c r="AK23" s="1167">
        <f t="shared" si="14"/>
        <v>0</v>
      </c>
      <c r="AL23" s="1171">
        <f>IF(ISNUMBER(NºAsuntos!G23/NºAsuntos!E23),NºAsuntos!G23/NºAsuntos!E23," - ")</f>
        <v>0.93427620632279529</v>
      </c>
      <c r="AM23" s="1171">
        <f>IF(ISNUMBER(((NºAsuntos!I23/NºAsuntos!G23)*11)/factor_trimestre),((NºAsuntos!I23/NºAsuntos!G23)*11)/factor_trimestre," - ")</f>
        <v>3.5930543187889583</v>
      </c>
      <c r="AN23" s="1172">
        <f>IF(ISNUMBER('Resol  Asuntos'!D23/NºAsuntos!G23),'Resol  Asuntos'!D23/NºAsuntos!G23," - ")</f>
        <v>0.12733748886910062</v>
      </c>
      <c r="AO23" s="1173">
        <f>IF(ISNUMBER((NºAsuntos!C23+NºAsuntos!E23)/NºAsuntos!G23),(NºAsuntos!C23+NºAsuntos!E23)/NºAsuntos!G23," - ")</f>
        <v>2.1976847729296529</v>
      </c>
      <c r="AP23" s="1174" t="str">
        <f t="shared" si="2"/>
        <v xml:space="preserve"> - </v>
      </c>
      <c r="AQ23" s="1174">
        <f>IF(ISNUMBER((H23-W23+K23)/(F23)),(H23-W23+K23)/(F23)," - ")</f>
        <v>-0.91004862236628847</v>
      </c>
      <c r="AR23" s="1175">
        <f>IF(ISNUMBER((Datos!P23-Datos!Q23)/(Datos!R23-Datos!P23+Datos!Q23)),(Datos!P23-Datos!Q23)/(Datos!R23-Datos!P23+Datos!Q23)," - ")</f>
        <v>-5.6737588652482268E-2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1248</v>
      </c>
      <c r="G31" s="1118">
        <f t="shared" si="20"/>
        <v>1280</v>
      </c>
      <c r="H31" s="1117">
        <f t="shared" si="20"/>
        <v>0</v>
      </c>
      <c r="I31" s="1119">
        <f t="shared" si="20"/>
        <v>0</v>
      </c>
      <c r="J31" s="1119">
        <f t="shared" si="20"/>
        <v>0</v>
      </c>
      <c r="K31" s="1180">
        <f t="shared" si="20"/>
        <v>0</v>
      </c>
      <c r="L31" s="1119">
        <f t="shared" si="20"/>
        <v>633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1128</v>
      </c>
      <c r="X31" s="1118">
        <f t="shared" si="21"/>
        <v>542</v>
      </c>
      <c r="Y31" s="1125">
        <f t="shared" si="21"/>
        <v>1670</v>
      </c>
      <c r="Z31" s="1125">
        <f t="shared" si="21"/>
        <v>0</v>
      </c>
      <c r="AA31" s="1125">
        <f t="shared" si="21"/>
        <v>1359</v>
      </c>
      <c r="AB31" s="1125">
        <f t="shared" si="21"/>
        <v>6698</v>
      </c>
      <c r="AC31" s="1125">
        <f t="shared" si="21"/>
        <v>1519</v>
      </c>
      <c r="AD31" s="1125">
        <f t="shared" si="21"/>
        <v>0</v>
      </c>
      <c r="AE31" s="1127">
        <f t="shared" si="21"/>
        <v>0</v>
      </c>
      <c r="AF31" s="1128">
        <f t="shared" si="21"/>
        <v>0</v>
      </c>
      <c r="AG31" s="1129">
        <f t="shared" si="21"/>
        <v>0</v>
      </c>
      <c r="AH31" s="1127">
        <f t="shared" si="21"/>
        <v>0</v>
      </c>
      <c r="AI31" s="1117">
        <f t="shared" si="21"/>
        <v>331</v>
      </c>
      <c r="AJ31" s="1117">
        <f t="shared" si="21"/>
        <v>0</v>
      </c>
      <c r="AK31" s="1127">
        <f t="shared" si="21"/>
        <v>0</v>
      </c>
      <c r="AL31" s="1183">
        <f>IF(ISNUMBER(NºAsuntos!G31/NºAsuntos!E31),NºAsuntos!G31/NºAsuntos!E31," - ")</f>
        <v>0.9247454625940682</v>
      </c>
      <c r="AM31" s="1184">
        <f>IF(ISNUMBER(((NºAsuntos!I31/NºAsuntos!G31)*11)/factor_trimestre),((NºAsuntos!I31/NºAsuntos!G31)*11)/factor_trimestre," - ")</f>
        <v>6.6419339396840593</v>
      </c>
      <c r="AN31" s="1184">
        <f>IF(ISNUMBER('Resol  Asuntos'!D31/NºAsuntos!G31),'Resol  Asuntos'!D31/NºAsuntos!G31," - ")</f>
        <v>0.15844901866921973</v>
      </c>
      <c r="AO31" s="1185">
        <f>IF(ISNUMBER((NºAsuntos!C31+NºAsuntos!E31)/NºAsuntos!G31),(NºAsuntos!C31+NºAsuntos!E31)/NºAsuntos!G31," - ")</f>
        <v>3.2139779798946866</v>
      </c>
      <c r="AP31" s="1186" t="str">
        <f t="shared" si="2"/>
        <v xml:space="preserve"> - </v>
      </c>
      <c r="AQ31" s="1187">
        <f>IF(OR(ISNUMBER(FIND("01",Criterios!A8,1)),ISNUMBER(FIND("02",Criterios!A8,1)),ISNUMBER(FIND("03",Criterios!A8,1)),ISNUMBER(FIND("04",Criterios!A8,1))),(I31-W31+K31)/(F31-K31),(H31-W31+K31)/(F31-K31))</f>
        <v>-0.90384615384615385</v>
      </c>
      <c r="AR31" s="1188">
        <f>IF(ISNUMBER((Datos!P31-Datos!Q31)/(Datos!R31-Datos!P31+Datos!Q31)),(Datos!P31-Datos!Q31)/(Datos!R31-Datos!P31+Datos!Q31)," - ")</f>
        <v>1.3773270773422127E-2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633.65100804780548</v>
      </c>
      <c r="G33" s="277">
        <f>IF(ISNUMBER(STDEV(G8:G30)),STDEV(G8:G30),"-")</f>
        <v>604.24876617877464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530.07663417211484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88.599822637681228</v>
      </c>
      <c r="AJ33" s="276">
        <f t="shared" si="25"/>
        <v>0</v>
      </c>
      <c r="AK33" s="278">
        <f t="shared" si="25"/>
        <v>0</v>
      </c>
      <c r="AL33" s="273">
        <f t="shared" si="25"/>
        <v>4.6120362166881632E-2</v>
      </c>
      <c r="AM33" s="274">
        <f t="shared" si="25"/>
        <v>3.713052526414089</v>
      </c>
      <c r="AN33" s="274">
        <f t="shared" si="25"/>
        <v>0.11322864686825695</v>
      </c>
      <c r="AO33" s="275">
        <f t="shared" si="25"/>
        <v>1.2376841754713628</v>
      </c>
      <c r="AP33" s="317" t="str">
        <f t="shared" si="25"/>
        <v>-</v>
      </c>
      <c r="AQ33" s="318">
        <f t="shared" si="25"/>
        <v>0.39096341594662537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9gg4lHDrfMKCpQh1MCKfdDtidME4RsgY8BO6IvUc05mTCBzQa3blzlUCSDPZm+skDj+yGe9xE2+SD2GaCNJ9g==" saltValue="YgCHeI9FbhUUmxjOjwez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LA BISBAL D'EMPORDA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-0.36363636363636365</v>
      </c>
      <c r="E10" s="393">
        <f>IF(ISNUMBER((Datos!J10-Datos!T10)/Datos!T10),(Datos!J10-Datos!T10)/Datos!T10," - ")</f>
        <v>0</v>
      </c>
      <c r="F10" s="393">
        <f>IF(ISNUMBER((Datos!K10-Datos!U10)/Datos!U10),(Datos!K10-Datos!U10)/Datos!U10," - ")</f>
        <v>-0.5</v>
      </c>
      <c r="G10" s="394">
        <f>IF(ISNUMBER((Datos!L10-Datos!V10)/Datos!V10),(Datos!L10-Datos!V10)/Datos!V10," - ")</f>
        <v>-0.17647058823529413</v>
      </c>
      <c r="H10" s="244">
        <f>IF(ISNUMBER((Datos!M10-Datos!W10)/Datos!W10),(Datos!M10-Datos!W10)/Datos!W10," - ")</f>
        <v>-0.5</v>
      </c>
      <c r="I10" s="395">
        <f>IF(ISNUMBER((Tasas!C10-Datos!BE10)/Datos!BE10),(Tasas!C10-Datos!BE10)/Datos!BE10," - ")</f>
        <v>0.64705882352941169</v>
      </c>
      <c r="J10" s="394">
        <f>IF(ISNUMBER((Tasas!D10-Datos!BF10)/Datos!BF10),(Tasas!D10-Datos!BF10)/Datos!BF10," - ")</f>
        <v>0</v>
      </c>
      <c r="K10" s="396">
        <f>IF(ISNUMBER((Tasas!E10-Datos!BG10)/Datos!BG10),(Tasas!E10-Datos!BG10)/Datos!BG10," - ")</f>
        <v>0.40740740740740727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-0.1388888888888889</v>
      </c>
      <c r="I12" s="395">
        <f>IF(ISNUMBER((Tasas!C12-Datos!BE12)/Datos!BE12),(Tasas!C12-Datos!BE12)/Datos!BE12," - ")</f>
        <v>-0.11790117617380881</v>
      </c>
      <c r="J12" s="394">
        <f>IF(ISNUMBER((Tasas!D12-Datos!BF12)/Datos!BF12),(Tasas!D12-Datos!BF12)/Datos!BF12," - ")</f>
        <v>-0.51735402204981629</v>
      </c>
      <c r="K12" s="396">
        <f>IF(ISNUMBER((Tasas!E12-Datos!BG12)/Datos!BG12),(Tasas!E12-Datos!BG12)/Datos!BG12," - ")</f>
        <v>-9.3605640916235244E-2</v>
      </c>
      <c r="M12" t="e">
        <f>IF(Monitorios="SI",Datos!CE12,0)</f>
        <v>#REF!</v>
      </c>
      <c r="N12" t="e">
        <f>IF(Monitorios="SI",Datos!CF12,0)</f>
        <v>#REF!</v>
      </c>
      <c r="O12" t="e">
        <f>IF(Monitorios="SI",Datos!CG12,0)</f>
        <v>#REF!</v>
      </c>
      <c r="P12" t="e">
        <f>IF(Monitorios="SI",Datos!CH12,0)</f>
        <v>#REF!</v>
      </c>
      <c r="Q12">
        <f>IF(J_V="SI",0,Datos!AG12)</f>
        <v>30</v>
      </c>
      <c r="R12">
        <f>IF(J_V="SI",0,Datos!AH12)</f>
        <v>24</v>
      </c>
      <c r="S12">
        <f>IF(J_V="SI",0,Datos!AI12)</f>
        <v>24</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-0.14545454545454545</v>
      </c>
      <c r="I14" s="402">
        <f>IF(ISNUMBER((Tasas!C14-Datos!BE14)/Datos!BE14),(Tasas!C14-Datos!BE14)/Datos!BE14," - ")</f>
        <v>-0.11249092126062743</v>
      </c>
      <c r="J14" s="400">
        <f>IF(ISNUMBER((Tasas!D14-Datos!BF14)/Datos!BF14),(Tasas!D14-Datos!BF14)/Datos!BF14," - ")</f>
        <v>-0.51467391304347831</v>
      </c>
      <c r="K14" s="403">
        <f>IF(ISNUMBER((Tasas!E14-Datos!BG14)/Datos!BG14),(Tasas!E14-Datos!BG14)/Datos!BG14," - ")</f>
        <v>-8.9180675826719263E-2</v>
      </c>
      <c r="M14" t="e">
        <f>IF(Monitorios="SI",Datos!CE14,0)</f>
        <v>#REF!</v>
      </c>
      <c r="N14" t="e">
        <f>IF(Monitorios="SI",Datos!CF14,0)</f>
        <v>#REF!</v>
      </c>
      <c r="O14" t="e">
        <f>IF(Monitorios="SI",Datos!CG14,0)</f>
        <v>#REF!</v>
      </c>
      <c r="P14" t="e">
        <f>IF(Monitorios="SI",Datos!CH14,0)</f>
        <v>#REF!</v>
      </c>
      <c r="Q14">
        <f>IF(J_V="SI",0,Datos!AG14)</f>
        <v>30</v>
      </c>
      <c r="R14">
        <f>IF(J_V="SI",0,Datos!AH14)</f>
        <v>24</v>
      </c>
      <c r="S14">
        <f>IF(J_V="SI",0,Datos!AI14)</f>
        <v>24</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0.21936758893280633</v>
      </c>
      <c r="E17" s="393">
        <f>IF(ISNUMBER(
   IF(D_I="SI",(Datos!J17-Datos!T17)/Datos!T17,(Datos!J17+Datos!AD17-(Datos!T17+Datos!AL17))/(Datos!T17+Datos!AL17))
     ),IF(D_I="SI",(Datos!J17-Datos!T17)/Datos!T17,(Datos!J17+Datos!AD17-(Datos!T17+Datos!AL17))/(Datos!T17+Datos!AL17))," - ")</f>
        <v>0.19875130072840791</v>
      </c>
      <c r="F17" s="393">
        <f>IF(ISNUMBER(
   IF(D_I="SI",(Datos!K17-Datos!U17)/Datos!U17,(Datos!K17+Datos!AE17-(Datos!U17+Datos!AM17))/(Datos!U17+Datos!AM17))
     ),IF(D_I="SI",(Datos!K17-Datos!U17)/Datos!U17,(Datos!K17+Datos!AE17-(Datos!U17+Datos!AM17))/(Datos!U17+Datos!AM17))," - ")</f>
        <v>0.16143011917659805</v>
      </c>
      <c r="G17" s="394">
        <f>IF(ISNUMBER(
   IF(D_I="SI",(Datos!L17-Datos!V17)/Datos!V17,(Datos!L17+Datos!AF17-(Datos!V17+Datos!AN17))/(Datos!V17+Datos!AN17))
     ),IF(D_I="SI",(Datos!L17-Datos!V17)/Datos!V17,(Datos!L17+Datos!AF17-(Datos!V17+Datos!AN17))/(Datos!V17+Datos!AN17))," - ")</f>
        <v>0.25142857142857145</v>
      </c>
      <c r="H17" s="244">
        <f>IF(ISNUMBER((Datos!M17-Datos!W17)/Datos!W17),(Datos!M17-Datos!W17)/Datos!W17," - ")</f>
        <v>-0.13664596273291926</v>
      </c>
      <c r="I17" s="395">
        <f>IF(ISNUMBER((Tasas!C17-Datos!BE17)/Datos!BE17),(Tasas!C17-Datos!BE17)/Datos!BE17," - ")</f>
        <v>7.7489339019189876E-2</v>
      </c>
      <c r="J17" s="394">
        <f>IF(ISNUMBER((Tasas!D17-Datos!BF17)/Datos!BF17),(Tasas!D17-Datos!BF17)/Datos!BF17," - ")</f>
        <v>-0.2566457309724669</v>
      </c>
      <c r="K17" s="396">
        <f>IF(ISNUMBER((Tasas!E17-Datos!BG17)/Datos!BG17),(Tasas!E17-Datos!BG17)/Datos!BG17," - ")</f>
        <v>4.1238624414672652E-2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3.2258064516129031E-2</v>
      </c>
      <c r="E18" s="393">
        <f>IF(ISNUMBER(
   IF(D_I="SI",(Datos!J18-Datos!T18)/Datos!T18,(Datos!J18+Datos!AD18-(Datos!T18+Datos!AL18))/(Datos!T18+Datos!AL18))
     ),IF(D_I="SI",(Datos!J18-Datos!T18)/Datos!T18,(Datos!J18+Datos!AD18-(Datos!T18+Datos!AL18))/(Datos!T18+Datos!AL18))," - ")</f>
        <v>-1.9607843137254902E-2</v>
      </c>
      <c r="F18" s="393">
        <f>IF(ISNUMBER(
   IF(D_I="SI",(Datos!K18-Datos!U18)/Datos!U18,(Datos!K18+Datos!AE18-(Datos!U18+Datos!AM18))/(Datos!U18+Datos!AM18))
     ),IF(D_I="SI",(Datos!K18-Datos!U18)/Datos!U18,(Datos!K18+Datos!AE18-(Datos!U18+Datos!AM18))/(Datos!U18+Datos!AM18))," - ")</f>
        <v>4.0816326530612242E-2</v>
      </c>
      <c r="G18" s="394">
        <f>IF(ISNUMBER(
   IF(D_I="SI",(Datos!L18-Datos!V18)/Datos!V18,(Datos!L18+Datos!AF18-(Datos!V18+Datos!AN18))/(Datos!V18+Datos!AN18))
     ),IF(D_I="SI",(Datos!L18-Datos!V18)/Datos!V18,(Datos!L18+Datos!AF18-(Datos!V18+Datos!AN18))/(Datos!V18+Datos!AN18))," - ")</f>
        <v>-6.0606060606060608E-2</v>
      </c>
      <c r="H18" s="244">
        <f>IF(ISNUMBER((Datos!M18-Datos!W18)/Datos!W18),(Datos!M18-Datos!W18)/Datos!W18," - ")</f>
        <v>0</v>
      </c>
      <c r="I18" s="395">
        <f>IF(ISNUMBER((Tasas!C18-Datos!BE18)/Datos!BE18),(Tasas!C18-Datos!BE18)/Datos!BE18," - ")</f>
        <v>-9.7445038621509245E-2</v>
      </c>
      <c r="J18" s="394">
        <f>IF(ISNUMBER((Tasas!D18-Datos!BF18)/Datos!BF18),(Tasas!D18-Datos!BF18)/Datos!BF18," - ")</f>
        <v>-3.9215686274509741E-2</v>
      </c>
      <c r="K18" s="396">
        <f>IF(ISNUMBER((Tasas!E18-Datos!BG18)/Datos!BG18),(Tasas!E18-Datos!BG18)/Datos!BG18," - ")</f>
        <v>-3.9215686274509817E-2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0.21380632790028764</v>
      </c>
      <c r="E23" s="399">
        <f>IF(ISNUMBER(
   IF(D_I="SI",(Datos!J23-Datos!T23)/Datos!T23,(Datos!J23+Datos!AD23-(Datos!T23+Datos!AL23))/(Datos!T23+Datos!AL23))
     ),IF(D_I="SI",(Datos!J23-Datos!T23)/Datos!T23,(Datos!J23+Datos!AD23-(Datos!T23+Datos!AL23))/(Datos!T23+Datos!AL23))," - ")</f>
        <v>0.18774703557312253</v>
      </c>
      <c r="F23" s="399">
        <f>IF(ISNUMBER(
   IF(D_I="SI",(Datos!K23-Datos!U23)/Datos!U23,(Datos!K23+Datos!AE23-(Datos!U23+Datos!AM23))/(Datos!U23+Datos!AM23))
     ),IF(D_I="SI",(Datos!K23-Datos!U23)/Datos!U23,(Datos!K23+Datos!AE23-(Datos!U23+Datos!AM23))/(Datos!U23+Datos!AM23))," - ")</f>
        <v>0.15534979423868311</v>
      </c>
      <c r="G23" s="400">
        <f>IF(ISNUMBER(
   IF(D_I="SI",(Datos!L23-Datos!V23)/Datos!V23,(Datos!L23+Datos!AF23-(Datos!V23+Datos!AN23))/(Datos!V23+Datos!AN23))
     ),IF(D_I="SI",(Datos!L23-Datos!V23)/Datos!V23,(Datos!L23+Datos!AF23-(Datos!V23+Datos!AN23))/(Datos!V23+Datos!AN23))," - ")</f>
        <v>0.24192059095106186</v>
      </c>
      <c r="H23" s="401">
        <f>IF(ISNUMBER((Datos!M23-Datos!W23)/Datos!W23),(Datos!M23-Datos!W23)/Datos!W23," - ")</f>
        <v>-0.13333333333333333</v>
      </c>
      <c r="I23" s="402">
        <f>IF(ISNUMBER((Tasas!C23-Datos!BE23)/Datos!BE23),(Tasas!C23-Datos!BE23)/Datos!BE23," - ")</f>
        <v>7.493037792024225E-2</v>
      </c>
      <c r="J23" s="400">
        <f>IF(ISNUMBER((Tasas!D23-Datos!BF23)/Datos!BF23),(Tasas!D23-Datos!BF23)/Datos!BF23," - ")</f>
        <v>-0.24986642920747998</v>
      </c>
      <c r="K23" s="403">
        <f>IF(ISNUMBER((Tasas!E23-Datos!BG23)/Datos!BG23),(Tasas!E23-Datos!BG23)/Datos!BG23," - ")</f>
        <v>3.948885610103299E-2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0.16106333072713058</v>
      </c>
      <c r="E31" s="409">
        <f>IF(ISNUMBER(
   IF(J_V="SI",(Datos!J31-Datos!T31)/Datos!T31,(Datos!J31+Datos!Z31-(Datos!T31+Datos!AH31))/(Datos!T31+Datos!AH31))
     ),IF(J_V="SI",(Datos!J31-Datos!T31)/Datos!T31,(Datos!J31+Datos!Z31-(Datos!T31+Datos!AH31))/(Datos!T31+Datos!AH31))," - ")</f>
        <v>9.1831802803286608E-2</v>
      </c>
      <c r="F31" s="409">
        <f>IF(ISNUMBER(
   IF(J_V="SI",(Datos!K31-Datos!U31)/Datos!U31,(Datos!K31+Datos!AA31-(Datos!U31+Datos!AI31))/(Datos!U31+Datos!AI31))
     ),IF(J_V="SI",(Datos!K31-Datos!U31)/Datos!U31,(Datos!K31+Datos!AA31-(Datos!U31+Datos!AI31))/(Datos!U31+Datos!AI31))," - ")</f>
        <v>0.18022598870056497</v>
      </c>
      <c r="G31" s="410">
        <f>IF(ISNUMBER(
   IF(J_V="SI",(Datos!L31-Datos!V31)/Datos!V31,(Datos!L31+Datos!AB31-(Datos!V31+Datos!AJ31))/(Datos!V31+Datos!AJ31))
     ),IF(J_V="SI",(Datos!L31-Datos!V31)/Datos!V31,(Datos!L31+Datos!AB31-(Datos!V31+Datos!AJ31))/(Datos!V31+Datos!AJ31))," - ")</f>
        <v>0.11823017408123791</v>
      </c>
      <c r="H31" s="411">
        <f>IF(ISNUMBER((Datos!M31-Datos!W31)/Datos!W31),(Datos!M31-Datos!W31)/Datos!W31," - ")</f>
        <v>-0.14025974025974025</v>
      </c>
      <c r="I31" s="408">
        <f>IF(ISNUMBER((Tasas!C31-Datos!BE31)/Datos!BE31),(Tasas!C31-Datos!BE31)/Datos!BE31," - ")</f>
        <v>-5.2528765857447902E-2</v>
      </c>
      <c r="J31" s="409">
        <f>IF(ISNUMBER((Tasas!D31-Datos!BF31)/Datos!BF31),(Tasas!D31-Datos!BF31)/Datos!BF31," - ")</f>
        <v>-0.42174275660923927</v>
      </c>
      <c r="K31" s="410">
        <f>IF(ISNUMBER((Tasas!E31-Datos!BG31)/Datos!BG31),(Tasas!E31-Datos!BG31)/Datos!BG31," - ")</f>
        <v>-3.6786145544599476E-2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0.27356698488853803</v>
      </c>
      <c r="E33" s="303">
        <f t="shared" si="1"/>
        <v>0.11759157839267691</v>
      </c>
      <c r="F33" s="303">
        <f t="shared" si="1"/>
        <v>0.31453113610549405</v>
      </c>
      <c r="G33" s="304">
        <f t="shared" si="1"/>
        <v>0.216131103462854</v>
      </c>
      <c r="H33" s="310">
        <f t="shared" si="1"/>
        <v>0.16830387706927005</v>
      </c>
      <c r="I33" s="302">
        <f t="shared" si="1"/>
        <v>0.29301209582743126</v>
      </c>
      <c r="J33" s="303">
        <f t="shared" si="1"/>
        <v>0.22248460782054913</v>
      </c>
      <c r="K33" s="304">
        <f t="shared" si="1"/>
        <v>0.18745101570334088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eeXs1j8e7Nzv1gQm8WYkBWTCGRyFAnTVkQh0Qf07WQSW9xvFAqK1D9qXUTHp5RljdarYAw0r9Uk/zeaEsQrQg==" saltValue="Co8Qora05cPHg60m+/R4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